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227"/>
  <workbookPr defaultThemeVersion="124226"/>
  <mc:AlternateContent xmlns:mc="http://schemas.openxmlformats.org/markup-compatibility/2006">
    <mc:Choice Requires="x15">
      <x15ac:absPath xmlns:x15ac="http://schemas.microsoft.com/office/spreadsheetml/2010/11/ac" url="E:\Rozpočet\SO02-Sociálky\"/>
    </mc:Choice>
  </mc:AlternateContent>
  <xr:revisionPtr revIDLastSave="0" documentId="13_ncr:1_{8F8B8B02-AFEC-48CB-BD6A-2A6BC3AD4E67}" xr6:coauthVersionLast="47" xr6:coauthVersionMax="47" xr10:uidLastSave="{00000000-0000-0000-0000-000000000000}"/>
  <bookViews>
    <workbookView xWindow="-120" yWindow="-120" windowWidth="29040" windowHeight="15840" activeTab="3" xr2:uid="{00000000-000D-0000-FFFF-FFFF00000000}"/>
  </bookViews>
  <sheets>
    <sheet name="Krycí list rozpočtu (SO 02)" sheetId="8" r:id="rId1"/>
    <sheet name="VORN objektu (SO 02)" sheetId="9" r:id="rId2"/>
    <sheet name="Stavební rozpočet - součet" sheetId="3" r:id="rId3"/>
    <sheet name="Stavební rozpočet" sheetId="1" r:id="rId4"/>
    <sheet name="Rozpočet - vybrané sloupce" sheetId="2" r:id="rId5"/>
    <sheet name="Krycí list rozpočtu" sheetId="4" state="hidden" r:id="rId6"/>
    <sheet name="VORN" sheetId="5" state="hidden" r:id="rId7"/>
    <sheet name="Krycí list rozpočtu (SO 01)" sheetId="6" state="hidden" r:id="rId8"/>
    <sheet name="VORN objektu (SO 01)" sheetId="7" state="hidden" r:id="rId9"/>
  </sheets>
  <definedNames>
    <definedName name="vorn_sum">VORN!$I$36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6" i="9" l="1"/>
  <c r="I19" i="8" s="1"/>
  <c r="I25" i="9"/>
  <c r="I18" i="8" s="1"/>
  <c r="I24" i="9"/>
  <c r="I23" i="9"/>
  <c r="I16" i="8" s="1"/>
  <c r="I22" i="9"/>
  <c r="I17" i="9"/>
  <c r="I16" i="9"/>
  <c r="I15" i="9"/>
  <c r="F10" i="9"/>
  <c r="C10" i="9"/>
  <c r="F8" i="9"/>
  <c r="F6" i="9"/>
  <c r="C6" i="9"/>
  <c r="F4" i="9"/>
  <c r="C4" i="9"/>
  <c r="F2" i="9"/>
  <c r="C2" i="9"/>
  <c r="I17" i="8"/>
  <c r="F16" i="8"/>
  <c r="I15" i="8"/>
  <c r="F15" i="8"/>
  <c r="F10" i="8"/>
  <c r="C10" i="8"/>
  <c r="F8" i="8"/>
  <c r="F6" i="8"/>
  <c r="C6" i="8"/>
  <c r="F4" i="8"/>
  <c r="C4" i="8"/>
  <c r="F2" i="8"/>
  <c r="C2" i="8"/>
  <c r="I26" i="7"/>
  <c r="I19" i="6" s="1"/>
  <c r="I25" i="7"/>
  <c r="I24" i="7"/>
  <c r="I23" i="7"/>
  <c r="I16" i="6" s="1"/>
  <c r="I22" i="7"/>
  <c r="I15" i="6" s="1"/>
  <c r="I17" i="7"/>
  <c r="I16" i="7"/>
  <c r="I15" i="7"/>
  <c r="F14" i="6" s="1"/>
  <c r="I10" i="7"/>
  <c r="F10" i="7"/>
  <c r="C10" i="7"/>
  <c r="F8" i="7"/>
  <c r="C8" i="7"/>
  <c r="F6" i="7"/>
  <c r="C6" i="7"/>
  <c r="F4" i="7"/>
  <c r="C4" i="7"/>
  <c r="F2" i="7"/>
  <c r="C2" i="7"/>
  <c r="C26" i="6"/>
  <c r="F26" i="6" s="1"/>
  <c r="C25" i="6"/>
  <c r="C21" i="6"/>
  <c r="C20" i="6"/>
  <c r="C19" i="6"/>
  <c r="I18" i="6"/>
  <c r="C18" i="6"/>
  <c r="I17" i="6"/>
  <c r="C17" i="6"/>
  <c r="F16" i="6"/>
  <c r="C16" i="6"/>
  <c r="F15" i="6"/>
  <c r="C15" i="6"/>
  <c r="C14" i="6"/>
  <c r="C22" i="6" s="1"/>
  <c r="I10" i="6"/>
  <c r="F10" i="6"/>
  <c r="C10" i="6"/>
  <c r="F8" i="6"/>
  <c r="C8" i="6"/>
  <c r="F6" i="6"/>
  <c r="C6" i="6"/>
  <c r="F4" i="6"/>
  <c r="C4" i="6"/>
  <c r="F2" i="6"/>
  <c r="C2" i="6"/>
  <c r="I36" i="5"/>
  <c r="I24" i="4" s="1"/>
  <c r="I35" i="5"/>
  <c r="I26" i="5"/>
  <c r="I19" i="4" s="1"/>
  <c r="I25" i="5"/>
  <c r="I24" i="5"/>
  <c r="I17" i="4" s="1"/>
  <c r="I23" i="5"/>
  <c r="I16" i="4" s="1"/>
  <c r="I22" i="5"/>
  <c r="I21" i="5"/>
  <c r="I17" i="5"/>
  <c r="F16" i="4" s="1"/>
  <c r="I16" i="5"/>
  <c r="I15" i="5"/>
  <c r="I18" i="5" s="1"/>
  <c r="I10" i="5"/>
  <c r="F10" i="5"/>
  <c r="C10" i="5"/>
  <c r="F8" i="5"/>
  <c r="C8" i="5"/>
  <c r="F6" i="5"/>
  <c r="C6" i="5"/>
  <c r="F4" i="5"/>
  <c r="C4" i="5"/>
  <c r="F2" i="5"/>
  <c r="C2" i="5"/>
  <c r="I18" i="4"/>
  <c r="I15" i="4"/>
  <c r="F15" i="4"/>
  <c r="I10" i="4"/>
  <c r="F10" i="4"/>
  <c r="C10" i="4"/>
  <c r="F8" i="4"/>
  <c r="C8" i="4"/>
  <c r="F6" i="4"/>
  <c r="C6" i="4"/>
  <c r="F4" i="4"/>
  <c r="C4" i="4"/>
  <c r="F2" i="4"/>
  <c r="C2" i="4"/>
  <c r="I11" i="3"/>
  <c r="C8" i="3"/>
  <c r="G6" i="3"/>
  <c r="C6" i="3"/>
  <c r="G4" i="3"/>
  <c r="C4" i="3"/>
  <c r="G2" i="3"/>
  <c r="C2" i="3"/>
  <c r="L241" i="2"/>
  <c r="H241" i="2"/>
  <c r="IR241" i="2" s="1"/>
  <c r="G241" i="2"/>
  <c r="L239" i="2"/>
  <c r="H239" i="2"/>
  <c r="IR239" i="2" s="1"/>
  <c r="G239" i="2"/>
  <c r="L237" i="2"/>
  <c r="H237" i="2"/>
  <c r="IR237" i="2" s="1"/>
  <c r="G237" i="2"/>
  <c r="L235" i="2"/>
  <c r="M235" i="2" s="1"/>
  <c r="H235" i="2"/>
  <c r="IR235" i="2" s="1"/>
  <c r="G235" i="2"/>
  <c r="H234" i="2"/>
  <c r="IR234" i="2" s="1"/>
  <c r="H233" i="2"/>
  <c r="IR233" i="2" s="1"/>
  <c r="L232" i="2"/>
  <c r="H232" i="2"/>
  <c r="IR232" i="2" s="1"/>
  <c r="G232" i="2"/>
  <c r="H231" i="2"/>
  <c r="IR231" i="2" s="1"/>
  <c r="H230" i="2"/>
  <c r="IR230" i="2" s="1"/>
  <c r="H229" i="2"/>
  <c r="IR229" i="2" s="1"/>
  <c r="H228" i="2"/>
  <c r="IR228" i="2" s="1"/>
  <c r="L227" i="2"/>
  <c r="H227" i="2"/>
  <c r="IR227" i="2" s="1"/>
  <c r="G227" i="2"/>
  <c r="H226" i="2"/>
  <c r="IR226" i="2" s="1"/>
  <c r="H225" i="2"/>
  <c r="IR225" i="2" s="1"/>
  <c r="H224" i="2"/>
  <c r="IR224" i="2" s="1"/>
  <c r="H223" i="2"/>
  <c r="IR223" i="2" s="1"/>
  <c r="L222" i="2"/>
  <c r="M222" i="2" s="1"/>
  <c r="H222" i="2"/>
  <c r="IR222" i="2" s="1"/>
  <c r="G222" i="2"/>
  <c r="L220" i="2"/>
  <c r="H220" i="2"/>
  <c r="IR220" i="2" s="1"/>
  <c r="G220" i="2"/>
  <c r="M220" i="2" s="1"/>
  <c r="L219" i="2"/>
  <c r="M219" i="2" s="1"/>
  <c r="H219" i="2"/>
  <c r="IR219" i="2" s="1"/>
  <c r="G219" i="2"/>
  <c r="L218" i="2"/>
  <c r="H218" i="2"/>
  <c r="IR218" i="2" s="1"/>
  <c r="G218" i="2"/>
  <c r="L217" i="2"/>
  <c r="M217" i="2" s="1"/>
  <c r="H217" i="2"/>
  <c r="IR217" i="2" s="1"/>
  <c r="G217" i="2"/>
  <c r="L215" i="2"/>
  <c r="H215" i="2"/>
  <c r="IS215" i="2" s="1"/>
  <c r="G215" i="2"/>
  <c r="L214" i="2"/>
  <c r="M214" i="2" s="1"/>
  <c r="H214" i="2"/>
  <c r="IR214" i="2" s="1"/>
  <c r="G214" i="2"/>
  <c r="L213" i="2"/>
  <c r="H213" i="2"/>
  <c r="IS213" i="2" s="1"/>
  <c r="J213" i="2" s="1"/>
  <c r="G213" i="2"/>
  <c r="L212" i="2"/>
  <c r="M212" i="2" s="1"/>
  <c r="H212" i="2"/>
  <c r="IR212" i="2" s="1"/>
  <c r="G212" i="2"/>
  <c r="L211" i="2"/>
  <c r="H211" i="2"/>
  <c r="IS211" i="2" s="1"/>
  <c r="G211" i="2"/>
  <c r="L210" i="2"/>
  <c r="M210" i="2" s="1"/>
  <c r="H210" i="2"/>
  <c r="IR210" i="2" s="1"/>
  <c r="G210" i="2"/>
  <c r="L208" i="2"/>
  <c r="M208" i="2" s="1"/>
  <c r="H208" i="2"/>
  <c r="IR208" i="2" s="1"/>
  <c r="G208" i="2"/>
  <c r="L207" i="2"/>
  <c r="M207" i="2" s="1"/>
  <c r="H207" i="2"/>
  <c r="IR207" i="2" s="1"/>
  <c r="G207" i="2"/>
  <c r="L206" i="2"/>
  <c r="H206" i="2"/>
  <c r="IR206" i="2" s="1"/>
  <c r="G206" i="2"/>
  <c r="L205" i="2"/>
  <c r="H205" i="2"/>
  <c r="IR205" i="2" s="1"/>
  <c r="G205" i="2"/>
  <c r="L204" i="2"/>
  <c r="M204" i="2" s="1"/>
  <c r="H204" i="2"/>
  <c r="IR204" i="2" s="1"/>
  <c r="G204" i="2"/>
  <c r="L203" i="2"/>
  <c r="H203" i="2"/>
  <c r="IR203" i="2" s="1"/>
  <c r="G203" i="2"/>
  <c r="L201" i="2"/>
  <c r="H201" i="2"/>
  <c r="IR201" i="2" s="1"/>
  <c r="G201" i="2"/>
  <c r="L199" i="2"/>
  <c r="H199" i="2"/>
  <c r="IR199" i="2" s="1"/>
  <c r="G199" i="2"/>
  <c r="H197" i="2"/>
  <c r="IR197" i="2" s="1"/>
  <c r="L195" i="2"/>
  <c r="H195" i="2"/>
  <c r="IR195" i="2" s="1"/>
  <c r="G195" i="2"/>
  <c r="L194" i="2"/>
  <c r="H194" i="2"/>
  <c r="IR194" i="2" s="1"/>
  <c r="G194" i="2"/>
  <c r="L193" i="2"/>
  <c r="H193" i="2"/>
  <c r="IR193" i="2" s="1"/>
  <c r="G193" i="2"/>
  <c r="L192" i="2"/>
  <c r="H192" i="2"/>
  <c r="IR192" i="2" s="1"/>
  <c r="G192" i="2"/>
  <c r="L191" i="2"/>
  <c r="H191" i="2"/>
  <c r="IR191" i="2" s="1"/>
  <c r="G191" i="2"/>
  <c r="L190" i="2"/>
  <c r="H190" i="2"/>
  <c r="IR190" i="2" s="1"/>
  <c r="G190" i="2"/>
  <c r="L188" i="2"/>
  <c r="H188" i="2"/>
  <c r="IR188" i="2" s="1"/>
  <c r="G188" i="2"/>
  <c r="L187" i="2"/>
  <c r="H187" i="2"/>
  <c r="IR187" i="2" s="1"/>
  <c r="G187" i="2"/>
  <c r="L186" i="2"/>
  <c r="H186" i="2"/>
  <c r="IR186" i="2" s="1"/>
  <c r="G186" i="2"/>
  <c r="L185" i="2"/>
  <c r="H185" i="2"/>
  <c r="IR185" i="2" s="1"/>
  <c r="G185" i="2"/>
  <c r="L184" i="2"/>
  <c r="H184" i="2"/>
  <c r="IR184" i="2" s="1"/>
  <c r="G184" i="2"/>
  <c r="L183" i="2"/>
  <c r="H183" i="2"/>
  <c r="IR183" i="2" s="1"/>
  <c r="G183" i="2"/>
  <c r="L182" i="2"/>
  <c r="H182" i="2"/>
  <c r="IR182" i="2" s="1"/>
  <c r="G182" i="2"/>
  <c r="L181" i="2"/>
  <c r="H181" i="2"/>
  <c r="IR181" i="2" s="1"/>
  <c r="G181" i="2"/>
  <c r="L180" i="2"/>
  <c r="H180" i="2"/>
  <c r="IR180" i="2" s="1"/>
  <c r="G180" i="2"/>
  <c r="L179" i="2"/>
  <c r="H179" i="2"/>
  <c r="IR179" i="2" s="1"/>
  <c r="G179" i="2"/>
  <c r="L177" i="2"/>
  <c r="H177" i="2"/>
  <c r="IR177" i="2" s="1"/>
  <c r="G177" i="2"/>
  <c r="L176" i="2"/>
  <c r="H176" i="2"/>
  <c r="IR176" i="2" s="1"/>
  <c r="G176" i="2"/>
  <c r="L174" i="2"/>
  <c r="H174" i="2"/>
  <c r="IR174" i="2" s="1"/>
  <c r="G174" i="2"/>
  <c r="L172" i="2"/>
  <c r="H172" i="2"/>
  <c r="IR172" i="2" s="1"/>
  <c r="G172" i="2"/>
  <c r="M172" i="2" s="1"/>
  <c r="L171" i="2"/>
  <c r="H171" i="2"/>
  <c r="IR171" i="2" s="1"/>
  <c r="G171" i="2"/>
  <c r="L170" i="2"/>
  <c r="H170" i="2"/>
  <c r="IR170" i="2" s="1"/>
  <c r="G170" i="2"/>
  <c r="M170" i="2" s="1"/>
  <c r="L169" i="2"/>
  <c r="H169" i="2"/>
  <c r="IR169" i="2" s="1"/>
  <c r="G169" i="2"/>
  <c r="L168" i="2"/>
  <c r="H168" i="2"/>
  <c r="IR168" i="2" s="1"/>
  <c r="G168" i="2"/>
  <c r="M168" i="2" s="1"/>
  <c r="L167" i="2"/>
  <c r="H167" i="2"/>
  <c r="IR167" i="2" s="1"/>
  <c r="G167" i="2"/>
  <c r="L166" i="2"/>
  <c r="H166" i="2"/>
  <c r="IR166" i="2" s="1"/>
  <c r="G166" i="2"/>
  <c r="M166" i="2" s="1"/>
  <c r="L164" i="2"/>
  <c r="H164" i="2"/>
  <c r="IR164" i="2" s="1"/>
  <c r="G164" i="2"/>
  <c r="H163" i="2"/>
  <c r="IR163" i="2" s="1"/>
  <c r="H162" i="2"/>
  <c r="IR162" i="2" s="1"/>
  <c r="L161" i="2"/>
  <c r="H161" i="2"/>
  <c r="IR161" i="2" s="1"/>
  <c r="G161" i="2"/>
  <c r="H160" i="2"/>
  <c r="IR160" i="2" s="1"/>
  <c r="L159" i="2"/>
  <c r="H159" i="2"/>
  <c r="IR159" i="2" s="1"/>
  <c r="G159" i="2"/>
  <c r="M159" i="2" s="1"/>
  <c r="L158" i="2"/>
  <c r="H158" i="2"/>
  <c r="IR158" i="2" s="1"/>
  <c r="G158" i="2"/>
  <c r="L157" i="2"/>
  <c r="H157" i="2"/>
  <c r="IR157" i="2" s="1"/>
  <c r="G157" i="2"/>
  <c r="M157" i="2" s="1"/>
  <c r="L155" i="2"/>
  <c r="H155" i="2"/>
  <c r="IR155" i="2" s="1"/>
  <c r="G155" i="2"/>
  <c r="L154" i="2"/>
  <c r="H154" i="2"/>
  <c r="IS154" i="2" s="1"/>
  <c r="G154" i="2"/>
  <c r="L153" i="2"/>
  <c r="H153" i="2"/>
  <c r="IR153" i="2" s="1"/>
  <c r="G153" i="2"/>
  <c r="L152" i="2"/>
  <c r="H152" i="2"/>
  <c r="IS152" i="2" s="1"/>
  <c r="G152" i="2"/>
  <c r="L151" i="2"/>
  <c r="H151" i="2"/>
  <c r="IR151" i="2" s="1"/>
  <c r="G151" i="2"/>
  <c r="L149" i="2"/>
  <c r="H149" i="2"/>
  <c r="IS149" i="2" s="1"/>
  <c r="G149" i="2"/>
  <c r="L148" i="2"/>
  <c r="H148" i="2"/>
  <c r="IR148" i="2" s="1"/>
  <c r="G148" i="2"/>
  <c r="L147" i="2"/>
  <c r="H147" i="2"/>
  <c r="IS147" i="2" s="1"/>
  <c r="G147" i="2"/>
  <c r="M147" i="2" s="1"/>
  <c r="L146" i="2"/>
  <c r="H146" i="2"/>
  <c r="IR146" i="2" s="1"/>
  <c r="G146" i="2"/>
  <c r="L144" i="2"/>
  <c r="H144" i="2"/>
  <c r="IS144" i="2" s="1"/>
  <c r="G144" i="2"/>
  <c r="L143" i="2"/>
  <c r="H143" i="2"/>
  <c r="IR143" i="2" s="1"/>
  <c r="G143" i="2"/>
  <c r="L142" i="2"/>
  <c r="H142" i="2"/>
  <c r="IR142" i="2" s="1"/>
  <c r="G142" i="2"/>
  <c r="L141" i="2"/>
  <c r="H141" i="2"/>
  <c r="IR141" i="2" s="1"/>
  <c r="G141" i="2"/>
  <c r="L140" i="2"/>
  <c r="H140" i="2"/>
  <c r="IR140" i="2" s="1"/>
  <c r="G140" i="2"/>
  <c r="L139" i="2"/>
  <c r="H139" i="2"/>
  <c r="IR139" i="2" s="1"/>
  <c r="G139" i="2"/>
  <c r="H137" i="2"/>
  <c r="IR137" i="2" s="1"/>
  <c r="L136" i="2"/>
  <c r="H136" i="2"/>
  <c r="IR136" i="2" s="1"/>
  <c r="G136" i="2"/>
  <c r="L134" i="2"/>
  <c r="H134" i="2"/>
  <c r="IR134" i="2" s="1"/>
  <c r="G134" i="2"/>
  <c r="L132" i="2"/>
  <c r="H132" i="2"/>
  <c r="IR132" i="2" s="1"/>
  <c r="G132" i="2"/>
  <c r="L130" i="2"/>
  <c r="H130" i="2"/>
  <c r="IR130" i="2" s="1"/>
  <c r="G130" i="2"/>
  <c r="L128" i="2"/>
  <c r="H128" i="2"/>
  <c r="IR128" i="2" s="1"/>
  <c r="G128" i="2"/>
  <c r="L127" i="2"/>
  <c r="H127" i="2"/>
  <c r="IR127" i="2" s="1"/>
  <c r="G127" i="2"/>
  <c r="L126" i="2"/>
  <c r="H126" i="2"/>
  <c r="IR126" i="2" s="1"/>
  <c r="G126" i="2"/>
  <c r="L124" i="2"/>
  <c r="H124" i="2"/>
  <c r="IR124" i="2" s="1"/>
  <c r="G124" i="2"/>
  <c r="H123" i="2"/>
  <c r="IS123" i="2" s="1"/>
  <c r="L121" i="2"/>
  <c r="H121" i="2"/>
  <c r="IR121" i="2" s="1"/>
  <c r="G121" i="2"/>
  <c r="H120" i="2"/>
  <c r="IS120" i="2" s="1"/>
  <c r="L118" i="2"/>
  <c r="H118" i="2"/>
  <c r="IR118" i="2" s="1"/>
  <c r="G118" i="2"/>
  <c r="M118" i="2" s="1"/>
  <c r="H117" i="2"/>
  <c r="IR117" i="2" s="1"/>
  <c r="H116" i="2"/>
  <c r="IR116" i="2" s="1"/>
  <c r="H115" i="2"/>
  <c r="IS115" i="2" s="1"/>
  <c r="H114" i="2"/>
  <c r="IR114" i="2" s="1"/>
  <c r="L112" i="2"/>
  <c r="H112" i="2"/>
  <c r="IR112" i="2" s="1"/>
  <c r="G112" i="2"/>
  <c r="L110" i="2"/>
  <c r="H110" i="2"/>
  <c r="IR110" i="2" s="1"/>
  <c r="G110" i="2"/>
  <c r="L109" i="2"/>
  <c r="H109" i="2"/>
  <c r="IR109" i="2" s="1"/>
  <c r="G109" i="2"/>
  <c r="H108" i="2"/>
  <c r="IR108" i="2" s="1"/>
  <c r="L107" i="2"/>
  <c r="H107" i="2"/>
  <c r="IR107" i="2" s="1"/>
  <c r="G107" i="2"/>
  <c r="L106" i="2"/>
  <c r="H106" i="2"/>
  <c r="IR106" i="2" s="1"/>
  <c r="G106" i="2"/>
  <c r="L105" i="2"/>
  <c r="H105" i="2"/>
  <c r="IR105" i="2" s="1"/>
  <c r="G105" i="2"/>
  <c r="L103" i="2"/>
  <c r="H103" i="2"/>
  <c r="IS103" i="2" s="1"/>
  <c r="G103" i="2"/>
  <c r="H102" i="2"/>
  <c r="IS102" i="2" s="1"/>
  <c r="L101" i="2"/>
  <c r="H101" i="2"/>
  <c r="IS101" i="2" s="1"/>
  <c r="G101" i="2"/>
  <c r="L100" i="2"/>
  <c r="H100" i="2"/>
  <c r="IR100" i="2" s="1"/>
  <c r="G100" i="2"/>
  <c r="H99" i="2"/>
  <c r="IS99" i="2" s="1"/>
  <c r="L98" i="2"/>
  <c r="H98" i="2"/>
  <c r="IR98" i="2" s="1"/>
  <c r="G98" i="2"/>
  <c r="L97" i="2"/>
  <c r="H97" i="2"/>
  <c r="IR97" i="2" s="1"/>
  <c r="G97" i="2"/>
  <c r="L95" i="2"/>
  <c r="H95" i="2"/>
  <c r="IR95" i="2" s="1"/>
  <c r="G95" i="2"/>
  <c r="L93" i="2"/>
  <c r="H93" i="2"/>
  <c r="IR93" i="2" s="1"/>
  <c r="G93" i="2"/>
  <c r="M93" i="2" s="1"/>
  <c r="L92" i="2"/>
  <c r="H92" i="2"/>
  <c r="IR92" i="2" s="1"/>
  <c r="G92" i="2"/>
  <c r="M92" i="2" s="1"/>
  <c r="L91" i="2"/>
  <c r="H91" i="2"/>
  <c r="IR91" i="2" s="1"/>
  <c r="G91" i="2"/>
  <c r="L90" i="2"/>
  <c r="H90" i="2"/>
  <c r="IR90" i="2" s="1"/>
  <c r="G90" i="2"/>
  <c r="L89" i="2"/>
  <c r="H89" i="2"/>
  <c r="IR89" i="2" s="1"/>
  <c r="G89" i="2"/>
  <c r="L88" i="2"/>
  <c r="H88" i="2"/>
  <c r="IR88" i="2" s="1"/>
  <c r="G88" i="2"/>
  <c r="M88" i="2" s="1"/>
  <c r="L87" i="2"/>
  <c r="H87" i="2"/>
  <c r="IR87" i="2" s="1"/>
  <c r="G87" i="2"/>
  <c r="L86" i="2"/>
  <c r="H86" i="2"/>
  <c r="IR86" i="2" s="1"/>
  <c r="G86" i="2"/>
  <c r="M86" i="2" s="1"/>
  <c r="L85" i="2"/>
  <c r="H85" i="2"/>
  <c r="IR85" i="2" s="1"/>
  <c r="G85" i="2"/>
  <c r="M85" i="2" s="1"/>
  <c r="L84" i="2"/>
  <c r="H84" i="2"/>
  <c r="IR84" i="2" s="1"/>
  <c r="G84" i="2"/>
  <c r="L83" i="2"/>
  <c r="H83" i="2"/>
  <c r="IR83" i="2" s="1"/>
  <c r="G83" i="2"/>
  <c r="L82" i="2"/>
  <c r="H82" i="2"/>
  <c r="IR82" i="2" s="1"/>
  <c r="G82" i="2"/>
  <c r="L81" i="2"/>
  <c r="H81" i="2"/>
  <c r="IR81" i="2" s="1"/>
  <c r="G81" i="2"/>
  <c r="M81" i="2" s="1"/>
  <c r="L80" i="2"/>
  <c r="H80" i="2"/>
  <c r="IR80" i="2" s="1"/>
  <c r="G80" i="2"/>
  <c r="L79" i="2"/>
  <c r="H79" i="2"/>
  <c r="IR79" i="2" s="1"/>
  <c r="G79" i="2"/>
  <c r="L78" i="2"/>
  <c r="H78" i="2"/>
  <c r="IR78" i="2" s="1"/>
  <c r="G78" i="2"/>
  <c r="L77" i="2"/>
  <c r="H77" i="2"/>
  <c r="IR77" i="2" s="1"/>
  <c r="G77" i="2"/>
  <c r="L75" i="2"/>
  <c r="H75" i="2"/>
  <c r="IR75" i="2" s="1"/>
  <c r="G75" i="2"/>
  <c r="L74" i="2"/>
  <c r="H74" i="2"/>
  <c r="IR74" i="2" s="1"/>
  <c r="G74" i="2"/>
  <c r="L73" i="2"/>
  <c r="H73" i="2"/>
  <c r="IR73" i="2" s="1"/>
  <c r="G73" i="2"/>
  <c r="L72" i="2"/>
  <c r="H72" i="2"/>
  <c r="IR72" i="2" s="1"/>
  <c r="G72" i="2"/>
  <c r="M72" i="2" s="1"/>
  <c r="L71" i="2"/>
  <c r="H71" i="2"/>
  <c r="IR71" i="2" s="1"/>
  <c r="G71" i="2"/>
  <c r="L70" i="2"/>
  <c r="H70" i="2"/>
  <c r="IR70" i="2" s="1"/>
  <c r="G70" i="2"/>
  <c r="L69" i="2"/>
  <c r="H69" i="2"/>
  <c r="IR69" i="2" s="1"/>
  <c r="G69" i="2"/>
  <c r="L68" i="2"/>
  <c r="H68" i="2"/>
  <c r="IR68" i="2" s="1"/>
  <c r="G68" i="2"/>
  <c r="M68" i="2" s="1"/>
  <c r="L67" i="2"/>
  <c r="H67" i="2"/>
  <c r="IR67" i="2" s="1"/>
  <c r="G67" i="2"/>
  <c r="L66" i="2"/>
  <c r="H66" i="2"/>
  <c r="IR66" i="2" s="1"/>
  <c r="G66" i="2"/>
  <c r="L65" i="2"/>
  <c r="H65" i="2"/>
  <c r="IR65" i="2" s="1"/>
  <c r="G65" i="2"/>
  <c r="L64" i="2"/>
  <c r="H64" i="2"/>
  <c r="IR64" i="2" s="1"/>
  <c r="G64" i="2"/>
  <c r="L63" i="2"/>
  <c r="H63" i="2"/>
  <c r="IR63" i="2" s="1"/>
  <c r="G63" i="2"/>
  <c r="L62" i="2"/>
  <c r="H62" i="2"/>
  <c r="IR62" i="2" s="1"/>
  <c r="G62" i="2"/>
  <c r="L61" i="2"/>
  <c r="H61" i="2"/>
  <c r="IR61" i="2" s="1"/>
  <c r="G61" i="2"/>
  <c r="H60" i="2"/>
  <c r="IR60" i="2" s="1"/>
  <c r="H59" i="2"/>
  <c r="IR59" i="2" s="1"/>
  <c r="H58" i="2"/>
  <c r="IR58" i="2" s="1"/>
  <c r="L57" i="2"/>
  <c r="H57" i="2"/>
  <c r="IR57" i="2" s="1"/>
  <c r="G57" i="2"/>
  <c r="L55" i="2"/>
  <c r="H55" i="2"/>
  <c r="IR55" i="2" s="1"/>
  <c r="I55" i="2" s="1"/>
  <c r="G55" i="2"/>
  <c r="L54" i="2"/>
  <c r="H54" i="2"/>
  <c r="IS54" i="2" s="1"/>
  <c r="J54" i="2" s="1"/>
  <c r="G54" i="2"/>
  <c r="L53" i="2"/>
  <c r="H53" i="2"/>
  <c r="IR53" i="2" s="1"/>
  <c r="G53" i="2"/>
  <c r="L52" i="2"/>
  <c r="H52" i="2"/>
  <c r="IS52" i="2" s="1"/>
  <c r="G52" i="2"/>
  <c r="H51" i="2"/>
  <c r="IR51" i="2" s="1"/>
  <c r="H50" i="2"/>
  <c r="IS50" i="2" s="1"/>
  <c r="H49" i="2"/>
  <c r="IR49" i="2" s="1"/>
  <c r="L48" i="2"/>
  <c r="M48" i="2" s="1"/>
  <c r="H48" i="2"/>
  <c r="IS48" i="2" s="1"/>
  <c r="J48" i="2" s="1"/>
  <c r="G48" i="2"/>
  <c r="L47" i="2"/>
  <c r="H47" i="2"/>
  <c r="IR47" i="2" s="1"/>
  <c r="I47" i="2" s="1"/>
  <c r="G47" i="2"/>
  <c r="H46" i="2"/>
  <c r="IS46" i="2" s="1"/>
  <c r="H45" i="2"/>
  <c r="IR45" i="2" s="1"/>
  <c r="L44" i="2"/>
  <c r="H44" i="2"/>
  <c r="IS44" i="2" s="1"/>
  <c r="J44" i="2" s="1"/>
  <c r="G44" i="2"/>
  <c r="H43" i="2"/>
  <c r="IR43" i="2" s="1"/>
  <c r="L42" i="2"/>
  <c r="H42" i="2"/>
  <c r="IS42" i="2" s="1"/>
  <c r="G42" i="2"/>
  <c r="L41" i="2"/>
  <c r="H41" i="2"/>
  <c r="IR41" i="2" s="1"/>
  <c r="I41" i="2" s="1"/>
  <c r="G41" i="2"/>
  <c r="L40" i="2"/>
  <c r="H40" i="2"/>
  <c r="IS40" i="2" s="1"/>
  <c r="G40" i="2"/>
  <c r="L39" i="2"/>
  <c r="H39" i="2"/>
  <c r="IS39" i="2" s="1"/>
  <c r="G39" i="2"/>
  <c r="H38" i="2"/>
  <c r="IR38" i="2" s="1"/>
  <c r="H37" i="2"/>
  <c r="H36" i="2"/>
  <c r="IR36" i="2" s="1"/>
  <c r="H35" i="2"/>
  <c r="L34" i="2"/>
  <c r="H34" i="2"/>
  <c r="IS34" i="2" s="1"/>
  <c r="G34" i="2"/>
  <c r="L33" i="2"/>
  <c r="H33" i="2"/>
  <c r="IS33" i="2" s="1"/>
  <c r="J33" i="2" s="1"/>
  <c r="G33" i="2"/>
  <c r="H32" i="2"/>
  <c r="IR32" i="2" s="1"/>
  <c r="H31" i="2"/>
  <c r="IR31" i="2" s="1"/>
  <c r="H30" i="2"/>
  <c r="IR30" i="2" s="1"/>
  <c r="H29" i="2"/>
  <c r="IR29" i="2" s="1"/>
  <c r="L27" i="2"/>
  <c r="H27" i="2"/>
  <c r="IS27" i="2" s="1"/>
  <c r="G27" i="2"/>
  <c r="H26" i="2"/>
  <c r="IS26" i="2" s="1"/>
  <c r="H25" i="2"/>
  <c r="IR25" i="2" s="1"/>
  <c r="H24" i="2"/>
  <c r="IS24" i="2" s="1"/>
  <c r="H23" i="2"/>
  <c r="IS23" i="2" s="1"/>
  <c r="H22" i="2"/>
  <c r="IS22" i="2" s="1"/>
  <c r="L21" i="2"/>
  <c r="H21" i="2"/>
  <c r="IR21" i="2" s="1"/>
  <c r="G21" i="2"/>
  <c r="L20" i="2"/>
  <c r="H20" i="2"/>
  <c r="IR20" i="2" s="1"/>
  <c r="G20" i="2"/>
  <c r="M20" i="2" s="1"/>
  <c r="L19" i="2"/>
  <c r="H19" i="2"/>
  <c r="IR19" i="2" s="1"/>
  <c r="G19" i="2"/>
  <c r="L18" i="2"/>
  <c r="H18" i="2"/>
  <c r="IR18" i="2" s="1"/>
  <c r="G18" i="2"/>
  <c r="L17" i="2"/>
  <c r="H17" i="2"/>
  <c r="IR17" i="2" s="1"/>
  <c r="G17" i="2"/>
  <c r="L15" i="2"/>
  <c r="H15" i="2"/>
  <c r="IR15" i="2" s="1"/>
  <c r="G15" i="2"/>
  <c r="L14" i="2"/>
  <c r="H14" i="2"/>
  <c r="IR14" i="2" s="1"/>
  <c r="G14" i="2"/>
  <c r="M14" i="2" s="1"/>
  <c r="L13" i="2"/>
  <c r="H13" i="2"/>
  <c r="IR13" i="2" s="1"/>
  <c r="G13" i="2"/>
  <c r="H8" i="2"/>
  <c r="D8" i="2"/>
  <c r="H6" i="2"/>
  <c r="F6" i="2"/>
  <c r="D6" i="2"/>
  <c r="H4" i="2"/>
  <c r="D4" i="2"/>
  <c r="H2" i="2"/>
  <c r="F2" i="2"/>
  <c r="D2" i="2"/>
  <c r="BW230" i="1"/>
  <c r="BJ230" i="1"/>
  <c r="BD230" i="1"/>
  <c r="AP230" i="1"/>
  <c r="AO230" i="1"/>
  <c r="BH230" i="1" s="1"/>
  <c r="AB230" i="1" s="1"/>
  <c r="AK230" i="1"/>
  <c r="AT229" i="1" s="1"/>
  <c r="AJ230" i="1"/>
  <c r="AS229" i="1" s="1"/>
  <c r="AH230" i="1"/>
  <c r="AG230" i="1"/>
  <c r="AF230" i="1"/>
  <c r="AE230" i="1"/>
  <c r="AD230" i="1"/>
  <c r="Z230" i="1"/>
  <c r="O230" i="1"/>
  <c r="BF230" i="1" s="1"/>
  <c r="L230" i="1"/>
  <c r="L229" i="1" s="1"/>
  <c r="F31" i="3" s="1"/>
  <c r="I31" i="3" s="1"/>
  <c r="BW228" i="1"/>
  <c r="BJ228" i="1"/>
  <c r="Z228" i="1" s="1"/>
  <c r="BD228" i="1"/>
  <c r="AP228" i="1"/>
  <c r="AX228" i="1" s="1"/>
  <c r="AO228" i="1"/>
  <c r="J228" i="1" s="1"/>
  <c r="AK228" i="1"/>
  <c r="AJ228" i="1"/>
  <c r="AH228" i="1"/>
  <c r="AG228" i="1"/>
  <c r="AF228" i="1"/>
  <c r="AE228" i="1"/>
  <c r="AD228" i="1"/>
  <c r="AC228" i="1"/>
  <c r="AB228" i="1"/>
  <c r="O228" i="1"/>
  <c r="BF228" i="1" s="1"/>
  <c r="L228" i="1"/>
  <c r="BW226" i="1"/>
  <c r="BJ226" i="1"/>
  <c r="BD226" i="1"/>
  <c r="AP226" i="1"/>
  <c r="AX226" i="1" s="1"/>
  <c r="AO226" i="1"/>
  <c r="AW226" i="1" s="1"/>
  <c r="AK226" i="1"/>
  <c r="AJ226" i="1"/>
  <c r="AH226" i="1"/>
  <c r="AG226" i="1"/>
  <c r="AF226" i="1"/>
  <c r="AC226" i="1"/>
  <c r="AB226" i="1"/>
  <c r="Z226" i="1"/>
  <c r="O226" i="1"/>
  <c r="BF226" i="1" s="1"/>
  <c r="L226" i="1"/>
  <c r="AL226" i="1" s="1"/>
  <c r="BW224" i="1"/>
  <c r="BJ224" i="1"/>
  <c r="BD224" i="1"/>
  <c r="AP224" i="1"/>
  <c r="BI224" i="1" s="1"/>
  <c r="AE224" i="1" s="1"/>
  <c r="AO224" i="1"/>
  <c r="AW224" i="1" s="1"/>
  <c r="AK224" i="1"/>
  <c r="AJ224" i="1"/>
  <c r="AH224" i="1"/>
  <c r="AG224" i="1"/>
  <c r="AF224" i="1"/>
  <c r="AC224" i="1"/>
  <c r="AB224" i="1"/>
  <c r="Z224" i="1"/>
  <c r="O224" i="1"/>
  <c r="BF224" i="1" s="1"/>
  <c r="L224" i="1"/>
  <c r="AL224" i="1" s="1"/>
  <c r="K224" i="1"/>
  <c r="J224" i="1"/>
  <c r="BW223" i="1"/>
  <c r="BJ223" i="1"/>
  <c r="BD223" i="1"/>
  <c r="AP223" i="1"/>
  <c r="AX223" i="1" s="1"/>
  <c r="AO223" i="1"/>
  <c r="AW223" i="1" s="1"/>
  <c r="AK223" i="1"/>
  <c r="AJ223" i="1"/>
  <c r="AH223" i="1"/>
  <c r="AG223" i="1"/>
  <c r="AF223" i="1"/>
  <c r="AC223" i="1"/>
  <c r="AB223" i="1"/>
  <c r="Z223" i="1"/>
  <c r="O223" i="1"/>
  <c r="L223" i="1"/>
  <c r="K223" i="1"/>
  <c r="BW222" i="1"/>
  <c r="BJ222" i="1"/>
  <c r="BD222" i="1"/>
  <c r="AP222" i="1"/>
  <c r="AO222" i="1"/>
  <c r="AW222" i="1" s="1"/>
  <c r="AK222" i="1"/>
  <c r="AJ222" i="1"/>
  <c r="AH222" i="1"/>
  <c r="AG222" i="1"/>
  <c r="AF222" i="1"/>
  <c r="AC222" i="1"/>
  <c r="AB222" i="1"/>
  <c r="Z222" i="1"/>
  <c r="O222" i="1"/>
  <c r="BF222" i="1" s="1"/>
  <c r="L222" i="1"/>
  <c r="AL222" i="1" s="1"/>
  <c r="J222" i="1"/>
  <c r="BW220" i="1"/>
  <c r="BJ220" i="1"/>
  <c r="BD220" i="1"/>
  <c r="AP220" i="1"/>
  <c r="K220" i="1" s="1"/>
  <c r="AO220" i="1"/>
  <c r="J220" i="1" s="1"/>
  <c r="AK220" i="1"/>
  <c r="AJ220" i="1"/>
  <c r="AH220" i="1"/>
  <c r="AG220" i="1"/>
  <c r="AF220" i="1"/>
  <c r="AC220" i="1"/>
  <c r="AB220" i="1"/>
  <c r="Z220" i="1"/>
  <c r="O220" i="1"/>
  <c r="BF220" i="1" s="1"/>
  <c r="L220" i="1"/>
  <c r="AL220" i="1" s="1"/>
  <c r="BW218" i="1"/>
  <c r="BJ218" i="1"/>
  <c r="Z218" i="1" s="1"/>
  <c r="BD218" i="1"/>
  <c r="AX218" i="1"/>
  <c r="AP218" i="1"/>
  <c r="BI218" i="1" s="1"/>
  <c r="AO218" i="1"/>
  <c r="AK218" i="1"/>
  <c r="AJ218" i="1"/>
  <c r="AH218" i="1"/>
  <c r="AG218" i="1"/>
  <c r="AF218" i="1"/>
  <c r="AE218" i="1"/>
  <c r="AD218" i="1"/>
  <c r="AC218" i="1"/>
  <c r="AB218" i="1"/>
  <c r="O218" i="1"/>
  <c r="BF218" i="1" s="1"/>
  <c r="L218" i="1"/>
  <c r="AL218" i="1" s="1"/>
  <c r="BW217" i="1"/>
  <c r="BJ217" i="1"/>
  <c r="BD217" i="1"/>
  <c r="AP217" i="1"/>
  <c r="BI217" i="1" s="1"/>
  <c r="AE217" i="1" s="1"/>
  <c r="AO217" i="1"/>
  <c r="AW217" i="1" s="1"/>
  <c r="AK217" i="1"/>
  <c r="AJ217" i="1"/>
  <c r="AH217" i="1"/>
  <c r="AG217" i="1"/>
  <c r="AF217" i="1"/>
  <c r="AC217" i="1"/>
  <c r="AB217" i="1"/>
  <c r="Z217" i="1"/>
  <c r="O217" i="1"/>
  <c r="L217" i="1"/>
  <c r="K217" i="1"/>
  <c r="BW216" i="1"/>
  <c r="BJ216" i="1"/>
  <c r="BD216" i="1"/>
  <c r="AP216" i="1"/>
  <c r="AO216" i="1"/>
  <c r="AW216" i="1" s="1"/>
  <c r="AK216" i="1"/>
  <c r="AJ216" i="1"/>
  <c r="AH216" i="1"/>
  <c r="AG216" i="1"/>
  <c r="AF216" i="1"/>
  <c r="AC216" i="1"/>
  <c r="AB216" i="1"/>
  <c r="Z216" i="1"/>
  <c r="O216" i="1"/>
  <c r="BF216" i="1" s="1"/>
  <c r="L216" i="1"/>
  <c r="AL216" i="1" s="1"/>
  <c r="BW215" i="1"/>
  <c r="BJ215" i="1"/>
  <c r="BD215" i="1"/>
  <c r="AP215" i="1"/>
  <c r="AX215" i="1" s="1"/>
  <c r="AO215" i="1"/>
  <c r="J215" i="1" s="1"/>
  <c r="AK215" i="1"/>
  <c r="AJ215" i="1"/>
  <c r="AH215" i="1"/>
  <c r="AG215" i="1"/>
  <c r="AF215" i="1"/>
  <c r="AC215" i="1"/>
  <c r="AB215" i="1"/>
  <c r="Z215" i="1"/>
  <c r="O215" i="1"/>
  <c r="BF215" i="1" s="1"/>
  <c r="L215" i="1"/>
  <c r="AL215" i="1" s="1"/>
  <c r="K215" i="1"/>
  <c r="BW213" i="1"/>
  <c r="BJ213" i="1"/>
  <c r="Z213" i="1" s="1"/>
  <c r="BD213" i="1"/>
  <c r="AP213" i="1"/>
  <c r="K213" i="1" s="1"/>
  <c r="AO213" i="1"/>
  <c r="AK213" i="1"/>
  <c r="AJ213" i="1"/>
  <c r="AH213" i="1"/>
  <c r="AG213" i="1"/>
  <c r="AF213" i="1"/>
  <c r="AE213" i="1"/>
  <c r="AD213" i="1"/>
  <c r="AC213" i="1"/>
  <c r="AB213" i="1"/>
  <c r="O213" i="1"/>
  <c r="BF213" i="1" s="1"/>
  <c r="L213" i="1"/>
  <c r="AL213" i="1" s="1"/>
  <c r="BW212" i="1"/>
  <c r="BJ212" i="1"/>
  <c r="BD212" i="1"/>
  <c r="AP212" i="1"/>
  <c r="BI212" i="1" s="1"/>
  <c r="AE212" i="1" s="1"/>
  <c r="AO212" i="1"/>
  <c r="AW212" i="1" s="1"/>
  <c r="AK212" i="1"/>
  <c r="AJ212" i="1"/>
  <c r="AH212" i="1"/>
  <c r="AG212" i="1"/>
  <c r="AF212" i="1"/>
  <c r="AC212" i="1"/>
  <c r="AB212" i="1"/>
  <c r="Z212" i="1"/>
  <c r="O212" i="1"/>
  <c r="BF212" i="1" s="1"/>
  <c r="L212" i="1"/>
  <c r="K212" i="1"/>
  <c r="BW211" i="1"/>
  <c r="BJ211" i="1"/>
  <c r="BD211" i="1"/>
  <c r="AP211" i="1"/>
  <c r="AO211" i="1"/>
  <c r="AW211" i="1" s="1"/>
  <c r="AK211" i="1"/>
  <c r="AJ211" i="1"/>
  <c r="AH211" i="1"/>
  <c r="AG211" i="1"/>
  <c r="AF211" i="1"/>
  <c r="AC211" i="1"/>
  <c r="AB211" i="1"/>
  <c r="Z211" i="1"/>
  <c r="O211" i="1"/>
  <c r="BF211" i="1" s="1"/>
  <c r="L211" i="1"/>
  <c r="AL211" i="1" s="1"/>
  <c r="J211" i="1"/>
  <c r="BW210" i="1"/>
  <c r="BJ210" i="1"/>
  <c r="BD210" i="1"/>
  <c r="AP210" i="1"/>
  <c r="BI210" i="1" s="1"/>
  <c r="AE210" i="1" s="1"/>
  <c r="AO210" i="1"/>
  <c r="J210" i="1" s="1"/>
  <c r="AK210" i="1"/>
  <c r="AJ210" i="1"/>
  <c r="AH210" i="1"/>
  <c r="AG210" i="1"/>
  <c r="AF210" i="1"/>
  <c r="AC210" i="1"/>
  <c r="AB210" i="1"/>
  <c r="Z210" i="1"/>
  <c r="O210" i="1"/>
  <c r="BF210" i="1" s="1"/>
  <c r="L210" i="1"/>
  <c r="AL210" i="1" s="1"/>
  <c r="K210" i="1"/>
  <c r="BW209" i="1"/>
  <c r="BJ209" i="1"/>
  <c r="BD209" i="1"/>
  <c r="AP209" i="1"/>
  <c r="AX209" i="1" s="1"/>
  <c r="AO209" i="1"/>
  <c r="AK209" i="1"/>
  <c r="AJ209" i="1"/>
  <c r="AH209" i="1"/>
  <c r="AG209" i="1"/>
  <c r="AF209" i="1"/>
  <c r="AC209" i="1"/>
  <c r="AB209" i="1"/>
  <c r="Z209" i="1"/>
  <c r="O209" i="1"/>
  <c r="O207" i="1" s="1"/>
  <c r="G28" i="3" s="1"/>
  <c r="L209" i="1"/>
  <c r="K209" i="1"/>
  <c r="BW208" i="1"/>
  <c r="BJ208" i="1"/>
  <c r="BD208" i="1"/>
  <c r="AP208" i="1"/>
  <c r="AX208" i="1" s="1"/>
  <c r="AO208" i="1"/>
  <c r="AW208" i="1" s="1"/>
  <c r="AK208" i="1"/>
  <c r="AJ208" i="1"/>
  <c r="AH208" i="1"/>
  <c r="AG208" i="1"/>
  <c r="AF208" i="1"/>
  <c r="AC208" i="1"/>
  <c r="AB208" i="1"/>
  <c r="Z208" i="1"/>
  <c r="O208" i="1"/>
  <c r="BF208" i="1" s="1"/>
  <c r="L208" i="1"/>
  <c r="AL208" i="1" s="1"/>
  <c r="BW206" i="1"/>
  <c r="BJ206" i="1"/>
  <c r="Z206" i="1" s="1"/>
  <c r="BD206" i="1"/>
  <c r="AP206" i="1"/>
  <c r="BI206" i="1" s="1"/>
  <c r="AO206" i="1"/>
  <c r="AW206" i="1" s="1"/>
  <c r="AK206" i="1"/>
  <c r="AJ206" i="1"/>
  <c r="AH206" i="1"/>
  <c r="AG206" i="1"/>
  <c r="AF206" i="1"/>
  <c r="AE206" i="1"/>
  <c r="AD206" i="1"/>
  <c r="AC206" i="1"/>
  <c r="AB206" i="1"/>
  <c r="O206" i="1"/>
  <c r="BF206" i="1" s="1"/>
  <c r="L206" i="1"/>
  <c r="J206" i="1"/>
  <c r="BW204" i="1"/>
  <c r="BJ204" i="1"/>
  <c r="BD204" i="1"/>
  <c r="AP204" i="1"/>
  <c r="AX204" i="1" s="1"/>
  <c r="AO204" i="1"/>
  <c r="AW204" i="1" s="1"/>
  <c r="AK204" i="1"/>
  <c r="AJ204" i="1"/>
  <c r="AH204" i="1"/>
  <c r="AG204" i="1"/>
  <c r="AF204" i="1"/>
  <c r="AC204" i="1"/>
  <c r="AB204" i="1"/>
  <c r="Z204" i="1"/>
  <c r="O204" i="1"/>
  <c r="BF204" i="1" s="1"/>
  <c r="L204" i="1"/>
  <c r="AL204" i="1" s="1"/>
  <c r="K204" i="1"/>
  <c r="BW202" i="1"/>
  <c r="BJ202" i="1"/>
  <c r="BD202" i="1"/>
  <c r="AP202" i="1"/>
  <c r="BI202" i="1" s="1"/>
  <c r="AE202" i="1" s="1"/>
  <c r="AO202" i="1"/>
  <c r="AK202" i="1"/>
  <c r="AJ202" i="1"/>
  <c r="AH202" i="1"/>
  <c r="AG202" i="1"/>
  <c r="AF202" i="1"/>
  <c r="AC202" i="1"/>
  <c r="AB202" i="1"/>
  <c r="Z202" i="1"/>
  <c r="O202" i="1"/>
  <c r="BF202" i="1" s="1"/>
  <c r="L202" i="1"/>
  <c r="AL202" i="1" s="1"/>
  <c r="K202" i="1"/>
  <c r="BW201" i="1"/>
  <c r="BJ201" i="1"/>
  <c r="BD201" i="1"/>
  <c r="AP201" i="1"/>
  <c r="BI201" i="1" s="1"/>
  <c r="AE201" i="1" s="1"/>
  <c r="AO201" i="1"/>
  <c r="AW201" i="1" s="1"/>
  <c r="AK201" i="1"/>
  <c r="AJ201" i="1"/>
  <c r="AH201" i="1"/>
  <c r="AG201" i="1"/>
  <c r="AF201" i="1"/>
  <c r="AC201" i="1"/>
  <c r="AB201" i="1"/>
  <c r="Z201" i="1"/>
  <c r="O201" i="1"/>
  <c r="BF201" i="1" s="1"/>
  <c r="L201" i="1"/>
  <c r="BW200" i="1"/>
  <c r="BJ200" i="1"/>
  <c r="BD200" i="1"/>
  <c r="AP200" i="1"/>
  <c r="BI200" i="1" s="1"/>
  <c r="AE200" i="1" s="1"/>
  <c r="AO200" i="1"/>
  <c r="AW200" i="1" s="1"/>
  <c r="AK200" i="1"/>
  <c r="AJ200" i="1"/>
  <c r="AH200" i="1"/>
  <c r="AG200" i="1"/>
  <c r="AF200" i="1"/>
  <c r="AC200" i="1"/>
  <c r="AB200" i="1"/>
  <c r="Z200" i="1"/>
  <c r="O200" i="1"/>
  <c r="BF200" i="1" s="1"/>
  <c r="L200" i="1"/>
  <c r="AL200" i="1" s="1"/>
  <c r="BW199" i="1"/>
  <c r="BJ199" i="1"/>
  <c r="BD199" i="1"/>
  <c r="AP199" i="1"/>
  <c r="AX199" i="1" s="1"/>
  <c r="AO199" i="1"/>
  <c r="AK199" i="1"/>
  <c r="AJ199" i="1"/>
  <c r="AH199" i="1"/>
  <c r="AG199" i="1"/>
  <c r="AF199" i="1"/>
  <c r="AC199" i="1"/>
  <c r="AB199" i="1"/>
  <c r="Z199" i="1"/>
  <c r="O199" i="1"/>
  <c r="L199" i="1"/>
  <c r="K199" i="1"/>
  <c r="BW197" i="1"/>
  <c r="BJ197" i="1"/>
  <c r="BD197" i="1"/>
  <c r="AP197" i="1"/>
  <c r="AX197" i="1" s="1"/>
  <c r="AO197" i="1"/>
  <c r="AK197" i="1"/>
  <c r="AT196" i="1" s="1"/>
  <c r="AJ197" i="1"/>
  <c r="AS196" i="1" s="1"/>
  <c r="AH197" i="1"/>
  <c r="AG197" i="1"/>
  <c r="AF197" i="1"/>
  <c r="AC197" i="1"/>
  <c r="AB197" i="1"/>
  <c r="Z197" i="1"/>
  <c r="O197" i="1"/>
  <c r="L197" i="1"/>
  <c r="L196" i="1" s="1"/>
  <c r="F26" i="3" s="1"/>
  <c r="I26" i="3" s="1"/>
  <c r="K197" i="1"/>
  <c r="K196" i="1" s="1"/>
  <c r="E26" i="3" s="1"/>
  <c r="BW195" i="1"/>
  <c r="BJ195" i="1"/>
  <c r="BD195" i="1"/>
  <c r="AP195" i="1"/>
  <c r="BI195" i="1" s="1"/>
  <c r="AE195" i="1" s="1"/>
  <c r="AO195" i="1"/>
  <c r="AK195" i="1"/>
  <c r="AT194" i="1" s="1"/>
  <c r="AJ195" i="1"/>
  <c r="AS194" i="1" s="1"/>
  <c r="AH195" i="1"/>
  <c r="AG195" i="1"/>
  <c r="AF195" i="1"/>
  <c r="AC195" i="1"/>
  <c r="AB195" i="1"/>
  <c r="Z195" i="1"/>
  <c r="O195" i="1"/>
  <c r="L195" i="1"/>
  <c r="L194" i="1" s="1"/>
  <c r="F25" i="3" s="1"/>
  <c r="I25" i="3" s="1"/>
  <c r="K195" i="1"/>
  <c r="K194" i="1" s="1"/>
  <c r="E25" i="3" s="1"/>
  <c r="BW192" i="1"/>
  <c r="BJ192" i="1"/>
  <c r="BD192" i="1"/>
  <c r="AP192" i="1"/>
  <c r="BI192" i="1" s="1"/>
  <c r="AE192" i="1" s="1"/>
  <c r="AO192" i="1"/>
  <c r="AK192" i="1"/>
  <c r="AJ192" i="1"/>
  <c r="AH192" i="1"/>
  <c r="AG192" i="1"/>
  <c r="AF192" i="1"/>
  <c r="AC192" i="1"/>
  <c r="AB192" i="1"/>
  <c r="Z192" i="1"/>
  <c r="O192" i="1"/>
  <c r="BF192" i="1" s="1"/>
  <c r="L192" i="1"/>
  <c r="AL192" i="1" s="1"/>
  <c r="K192" i="1"/>
  <c r="BW190" i="1"/>
  <c r="BJ190" i="1"/>
  <c r="BD190" i="1"/>
  <c r="AP190" i="1"/>
  <c r="BI190" i="1" s="1"/>
  <c r="AE190" i="1" s="1"/>
  <c r="AO190" i="1"/>
  <c r="AW190" i="1" s="1"/>
  <c r="AK190" i="1"/>
  <c r="AJ190" i="1"/>
  <c r="AH190" i="1"/>
  <c r="AG190" i="1"/>
  <c r="AF190" i="1"/>
  <c r="AC190" i="1"/>
  <c r="AB190" i="1"/>
  <c r="Z190" i="1"/>
  <c r="O190" i="1"/>
  <c r="BF190" i="1" s="1"/>
  <c r="L190" i="1"/>
  <c r="J190" i="1"/>
  <c r="BW188" i="1"/>
  <c r="BJ188" i="1"/>
  <c r="BD188" i="1"/>
  <c r="AP188" i="1"/>
  <c r="K188" i="1" s="1"/>
  <c r="AO188" i="1"/>
  <c r="AW188" i="1" s="1"/>
  <c r="AK188" i="1"/>
  <c r="AJ188" i="1"/>
  <c r="AH188" i="1"/>
  <c r="AG188" i="1"/>
  <c r="AF188" i="1"/>
  <c r="AC188" i="1"/>
  <c r="AB188" i="1"/>
  <c r="Z188" i="1"/>
  <c r="O188" i="1"/>
  <c r="BF188" i="1" s="1"/>
  <c r="L188" i="1"/>
  <c r="AL188" i="1" s="1"/>
  <c r="BW187" i="1"/>
  <c r="BJ187" i="1"/>
  <c r="BD187" i="1"/>
  <c r="AP187" i="1"/>
  <c r="BI187" i="1" s="1"/>
  <c r="AE187" i="1" s="1"/>
  <c r="AO187" i="1"/>
  <c r="AK187" i="1"/>
  <c r="AJ187" i="1"/>
  <c r="AH187" i="1"/>
  <c r="AG187" i="1"/>
  <c r="AF187" i="1"/>
  <c r="AC187" i="1"/>
  <c r="AB187" i="1"/>
  <c r="Z187" i="1"/>
  <c r="O187" i="1"/>
  <c r="BF187" i="1" s="1"/>
  <c r="L187" i="1"/>
  <c r="AL187" i="1" s="1"/>
  <c r="K187" i="1"/>
  <c r="BW186" i="1"/>
  <c r="BJ186" i="1"/>
  <c r="BD186" i="1"/>
  <c r="AP186" i="1"/>
  <c r="BI186" i="1" s="1"/>
  <c r="AE186" i="1" s="1"/>
  <c r="AO186" i="1"/>
  <c r="AW186" i="1" s="1"/>
  <c r="AK186" i="1"/>
  <c r="AJ186" i="1"/>
  <c r="AH186" i="1"/>
  <c r="AG186" i="1"/>
  <c r="AF186" i="1"/>
  <c r="AC186" i="1"/>
  <c r="AB186" i="1"/>
  <c r="Z186" i="1"/>
  <c r="O186" i="1"/>
  <c r="BF186" i="1" s="1"/>
  <c r="L186" i="1"/>
  <c r="BW185" i="1"/>
  <c r="BJ185" i="1"/>
  <c r="BD185" i="1"/>
  <c r="AP185" i="1"/>
  <c r="BI185" i="1" s="1"/>
  <c r="AE185" i="1" s="1"/>
  <c r="AO185" i="1"/>
  <c r="AW185" i="1" s="1"/>
  <c r="AK185" i="1"/>
  <c r="AJ185" i="1"/>
  <c r="AH185" i="1"/>
  <c r="AG185" i="1"/>
  <c r="AF185" i="1"/>
  <c r="AC185" i="1"/>
  <c r="AB185" i="1"/>
  <c r="Z185" i="1"/>
  <c r="O185" i="1"/>
  <c r="BF185" i="1" s="1"/>
  <c r="L185" i="1"/>
  <c r="AL185" i="1" s="1"/>
  <c r="J185" i="1"/>
  <c r="BW183" i="1"/>
  <c r="BJ183" i="1"/>
  <c r="BD183" i="1"/>
  <c r="AP183" i="1"/>
  <c r="AX183" i="1" s="1"/>
  <c r="AO183" i="1"/>
  <c r="AK183" i="1"/>
  <c r="AJ183" i="1"/>
  <c r="AH183" i="1"/>
  <c r="AG183" i="1"/>
  <c r="AF183" i="1"/>
  <c r="AC183" i="1"/>
  <c r="AB183" i="1"/>
  <c r="Z183" i="1"/>
  <c r="O183" i="1"/>
  <c r="BF183" i="1" s="1"/>
  <c r="L183" i="1"/>
  <c r="AL183" i="1" s="1"/>
  <c r="K183" i="1"/>
  <c r="BW182" i="1"/>
  <c r="BJ182" i="1"/>
  <c r="BD182" i="1"/>
  <c r="AP182" i="1"/>
  <c r="BI182" i="1" s="1"/>
  <c r="AE182" i="1" s="1"/>
  <c r="AO182" i="1"/>
  <c r="AW182" i="1" s="1"/>
  <c r="AK182" i="1"/>
  <c r="AJ182" i="1"/>
  <c r="AH182" i="1"/>
  <c r="AG182" i="1"/>
  <c r="AF182" i="1"/>
  <c r="AC182" i="1"/>
  <c r="AB182" i="1"/>
  <c r="Z182" i="1"/>
  <c r="O182" i="1"/>
  <c r="BF182" i="1" s="1"/>
  <c r="L182" i="1"/>
  <c r="BW181" i="1"/>
  <c r="BJ181" i="1"/>
  <c r="BD181" i="1"/>
  <c r="AP181" i="1"/>
  <c r="AX181" i="1" s="1"/>
  <c r="AO181" i="1"/>
  <c r="AW181" i="1" s="1"/>
  <c r="AK181" i="1"/>
  <c r="AJ181" i="1"/>
  <c r="AH181" i="1"/>
  <c r="AG181" i="1"/>
  <c r="AF181" i="1"/>
  <c r="AC181" i="1"/>
  <c r="AB181" i="1"/>
  <c r="Z181" i="1"/>
  <c r="O181" i="1"/>
  <c r="BF181" i="1" s="1"/>
  <c r="L181" i="1"/>
  <c r="AL181" i="1" s="1"/>
  <c r="J181" i="1"/>
  <c r="BW180" i="1"/>
  <c r="BJ180" i="1"/>
  <c r="BD180" i="1"/>
  <c r="AP180" i="1"/>
  <c r="BI180" i="1" s="1"/>
  <c r="AE180" i="1" s="1"/>
  <c r="AO180" i="1"/>
  <c r="AK180" i="1"/>
  <c r="AJ180" i="1"/>
  <c r="AH180" i="1"/>
  <c r="AG180" i="1"/>
  <c r="AF180" i="1"/>
  <c r="AC180" i="1"/>
  <c r="AB180" i="1"/>
  <c r="Z180" i="1"/>
  <c r="O180" i="1"/>
  <c r="BF180" i="1" s="1"/>
  <c r="L180" i="1"/>
  <c r="AL180" i="1" s="1"/>
  <c r="K180" i="1"/>
  <c r="BW178" i="1"/>
  <c r="BJ178" i="1"/>
  <c r="BD178" i="1"/>
  <c r="AP178" i="1"/>
  <c r="BI178" i="1" s="1"/>
  <c r="AE178" i="1" s="1"/>
  <c r="AO178" i="1"/>
  <c r="AW178" i="1" s="1"/>
  <c r="AK178" i="1"/>
  <c r="AJ178" i="1"/>
  <c r="AH178" i="1"/>
  <c r="AG178" i="1"/>
  <c r="AF178" i="1"/>
  <c r="AC178" i="1"/>
  <c r="AB178" i="1"/>
  <c r="Z178" i="1"/>
  <c r="O178" i="1"/>
  <c r="BF178" i="1" s="1"/>
  <c r="L178" i="1"/>
  <c r="BW176" i="1"/>
  <c r="BJ176" i="1"/>
  <c r="BI176" i="1"/>
  <c r="AE176" i="1" s="1"/>
  <c r="BD176" i="1"/>
  <c r="AP176" i="1"/>
  <c r="AX176" i="1" s="1"/>
  <c r="AO176" i="1"/>
  <c r="AW176" i="1" s="1"/>
  <c r="AK176" i="1"/>
  <c r="AJ176" i="1"/>
  <c r="AH176" i="1"/>
  <c r="AG176" i="1"/>
  <c r="AF176" i="1"/>
  <c r="AC176" i="1"/>
  <c r="AB176" i="1"/>
  <c r="Z176" i="1"/>
  <c r="O176" i="1"/>
  <c r="BF176" i="1" s="1"/>
  <c r="L176" i="1"/>
  <c r="AL176" i="1" s="1"/>
  <c r="K176" i="1"/>
  <c r="BW175" i="1"/>
  <c r="BJ175" i="1"/>
  <c r="BD175" i="1"/>
  <c r="AP175" i="1"/>
  <c r="BI175" i="1" s="1"/>
  <c r="AE175" i="1" s="1"/>
  <c r="AO175" i="1"/>
  <c r="AK175" i="1"/>
  <c r="AJ175" i="1"/>
  <c r="AH175" i="1"/>
  <c r="AG175" i="1"/>
  <c r="AF175" i="1"/>
  <c r="AC175" i="1"/>
  <c r="AB175" i="1"/>
  <c r="Z175" i="1"/>
  <c r="O175" i="1"/>
  <c r="BF175" i="1" s="1"/>
  <c r="L175" i="1"/>
  <c r="AL175" i="1" s="1"/>
  <c r="K175" i="1"/>
  <c r="BW173" i="1"/>
  <c r="BJ173" i="1"/>
  <c r="BD173" i="1"/>
  <c r="AP173" i="1"/>
  <c r="BI173" i="1" s="1"/>
  <c r="AE173" i="1" s="1"/>
  <c r="AO173" i="1"/>
  <c r="AW173" i="1" s="1"/>
  <c r="AK173" i="1"/>
  <c r="AJ173" i="1"/>
  <c r="AH173" i="1"/>
  <c r="AG173" i="1"/>
  <c r="AF173" i="1"/>
  <c r="AC173" i="1"/>
  <c r="AB173" i="1"/>
  <c r="Z173" i="1"/>
  <c r="O173" i="1"/>
  <c r="BF173" i="1" s="1"/>
  <c r="L173" i="1"/>
  <c r="BW172" i="1"/>
  <c r="BJ172" i="1"/>
  <c r="BD172" i="1"/>
  <c r="AP172" i="1"/>
  <c r="AX172" i="1" s="1"/>
  <c r="AO172" i="1"/>
  <c r="AW172" i="1" s="1"/>
  <c r="AK172" i="1"/>
  <c r="AJ172" i="1"/>
  <c r="AH172" i="1"/>
  <c r="AG172" i="1"/>
  <c r="AF172" i="1"/>
  <c r="AC172" i="1"/>
  <c r="AB172" i="1"/>
  <c r="Z172" i="1"/>
  <c r="O172" i="1"/>
  <c r="BF172" i="1" s="1"/>
  <c r="L172" i="1"/>
  <c r="AL172" i="1" s="1"/>
  <c r="K172" i="1"/>
  <c r="BW171" i="1"/>
  <c r="BJ171" i="1"/>
  <c r="BD171" i="1"/>
  <c r="AP171" i="1"/>
  <c r="BI171" i="1" s="1"/>
  <c r="AE171" i="1" s="1"/>
  <c r="AO171" i="1"/>
  <c r="AK171" i="1"/>
  <c r="AJ171" i="1"/>
  <c r="AH171" i="1"/>
  <c r="AG171" i="1"/>
  <c r="AF171" i="1"/>
  <c r="AC171" i="1"/>
  <c r="AB171" i="1"/>
  <c r="Z171" i="1"/>
  <c r="O171" i="1"/>
  <c r="BF171" i="1" s="1"/>
  <c r="L171" i="1"/>
  <c r="K171" i="1"/>
  <c r="BW169" i="1"/>
  <c r="BJ169" i="1"/>
  <c r="BD169" i="1"/>
  <c r="AP169" i="1"/>
  <c r="BI169" i="1" s="1"/>
  <c r="AE169" i="1" s="1"/>
  <c r="AO169" i="1"/>
  <c r="AW169" i="1" s="1"/>
  <c r="AK169" i="1"/>
  <c r="AJ169" i="1"/>
  <c r="AH169" i="1"/>
  <c r="AG169" i="1"/>
  <c r="AF169" i="1"/>
  <c r="AC169" i="1"/>
  <c r="AB169" i="1"/>
  <c r="Z169" i="1"/>
  <c r="O169" i="1"/>
  <c r="BF169" i="1" s="1"/>
  <c r="L169" i="1"/>
  <c r="BW168" i="1"/>
  <c r="BJ168" i="1"/>
  <c r="BD168" i="1"/>
  <c r="AP168" i="1"/>
  <c r="AX168" i="1" s="1"/>
  <c r="AO168" i="1"/>
  <c r="AW168" i="1" s="1"/>
  <c r="AK168" i="1"/>
  <c r="AJ168" i="1"/>
  <c r="AH168" i="1"/>
  <c r="AG168" i="1"/>
  <c r="AF168" i="1"/>
  <c r="AC168" i="1"/>
  <c r="AB168" i="1"/>
  <c r="Z168" i="1"/>
  <c r="O168" i="1"/>
  <c r="L168" i="1"/>
  <c r="AL168" i="1" s="1"/>
  <c r="K168" i="1"/>
  <c r="BW166" i="1"/>
  <c r="BJ166" i="1"/>
  <c r="Z166" i="1" s="1"/>
  <c r="BD166" i="1"/>
  <c r="AP166" i="1"/>
  <c r="BI166" i="1" s="1"/>
  <c r="AO166" i="1"/>
  <c r="AW166" i="1" s="1"/>
  <c r="AK166" i="1"/>
  <c r="AJ166" i="1"/>
  <c r="AH166" i="1"/>
  <c r="AG166" i="1"/>
  <c r="AF166" i="1"/>
  <c r="AE166" i="1"/>
  <c r="AD166" i="1"/>
  <c r="AC166" i="1"/>
  <c r="AB166" i="1"/>
  <c r="O166" i="1"/>
  <c r="BF166" i="1" s="1"/>
  <c r="L166" i="1"/>
  <c r="AL166" i="1" s="1"/>
  <c r="BW164" i="1"/>
  <c r="BJ164" i="1"/>
  <c r="BD164" i="1"/>
  <c r="AP164" i="1"/>
  <c r="AX164" i="1" s="1"/>
  <c r="AO164" i="1"/>
  <c r="AK164" i="1"/>
  <c r="AJ164" i="1"/>
  <c r="AH164" i="1"/>
  <c r="AG164" i="1"/>
  <c r="AF164" i="1"/>
  <c r="AC164" i="1"/>
  <c r="AB164" i="1"/>
  <c r="Z164" i="1"/>
  <c r="O164" i="1"/>
  <c r="BF164" i="1" s="1"/>
  <c r="L164" i="1"/>
  <c r="K164" i="1"/>
  <c r="BW163" i="1"/>
  <c r="BJ163" i="1"/>
  <c r="BD163" i="1"/>
  <c r="AP163" i="1"/>
  <c r="BI163" i="1" s="1"/>
  <c r="AE163" i="1" s="1"/>
  <c r="AO163" i="1"/>
  <c r="AW163" i="1" s="1"/>
  <c r="AK163" i="1"/>
  <c r="AJ163" i="1"/>
  <c r="AH163" i="1"/>
  <c r="AG163" i="1"/>
  <c r="AF163" i="1"/>
  <c r="AC163" i="1"/>
  <c r="AB163" i="1"/>
  <c r="Z163" i="1"/>
  <c r="O163" i="1"/>
  <c r="BF163" i="1" s="1"/>
  <c r="L163" i="1"/>
  <c r="J163" i="1"/>
  <c r="BW162" i="1"/>
  <c r="BJ162" i="1"/>
  <c r="BD162" i="1"/>
  <c r="AP162" i="1"/>
  <c r="BI162" i="1" s="1"/>
  <c r="AE162" i="1" s="1"/>
  <c r="AO162" i="1"/>
  <c r="AW162" i="1" s="1"/>
  <c r="AK162" i="1"/>
  <c r="AJ162" i="1"/>
  <c r="AH162" i="1"/>
  <c r="AG162" i="1"/>
  <c r="AF162" i="1"/>
  <c r="AC162" i="1"/>
  <c r="AB162" i="1"/>
  <c r="Z162" i="1"/>
  <c r="O162" i="1"/>
  <c r="BF162" i="1" s="1"/>
  <c r="L162" i="1"/>
  <c r="K162" i="1"/>
  <c r="J162" i="1"/>
  <c r="BW161" i="1"/>
  <c r="BJ161" i="1"/>
  <c r="BD161" i="1"/>
  <c r="AP161" i="1"/>
  <c r="BI161" i="1" s="1"/>
  <c r="AE161" i="1" s="1"/>
  <c r="AO161" i="1"/>
  <c r="AW161" i="1" s="1"/>
  <c r="AK161" i="1"/>
  <c r="AJ161" i="1"/>
  <c r="AH161" i="1"/>
  <c r="AG161" i="1"/>
  <c r="AF161" i="1"/>
  <c r="AC161" i="1"/>
  <c r="AB161" i="1"/>
  <c r="Z161" i="1"/>
  <c r="O161" i="1"/>
  <c r="BF161" i="1" s="1"/>
  <c r="L161" i="1"/>
  <c r="K161" i="1"/>
  <c r="BW160" i="1"/>
  <c r="BJ160" i="1"/>
  <c r="BD160" i="1"/>
  <c r="AP160" i="1"/>
  <c r="BI160" i="1" s="1"/>
  <c r="AE160" i="1" s="1"/>
  <c r="AO160" i="1"/>
  <c r="AW160" i="1" s="1"/>
  <c r="AK160" i="1"/>
  <c r="AJ160" i="1"/>
  <c r="AH160" i="1"/>
  <c r="AG160" i="1"/>
  <c r="AF160" i="1"/>
  <c r="AC160" i="1"/>
  <c r="AB160" i="1"/>
  <c r="Z160" i="1"/>
  <c r="O160" i="1"/>
  <c r="BF160" i="1" s="1"/>
  <c r="L160" i="1"/>
  <c r="BW159" i="1"/>
  <c r="BJ159" i="1"/>
  <c r="BD159" i="1"/>
  <c r="AP159" i="1"/>
  <c r="AX159" i="1" s="1"/>
  <c r="AO159" i="1"/>
  <c r="AW159" i="1" s="1"/>
  <c r="AK159" i="1"/>
  <c r="AJ159" i="1"/>
  <c r="AH159" i="1"/>
  <c r="AG159" i="1"/>
  <c r="AF159" i="1"/>
  <c r="AC159" i="1"/>
  <c r="AB159" i="1"/>
  <c r="Z159" i="1"/>
  <c r="O159" i="1"/>
  <c r="BF159" i="1" s="1"/>
  <c r="L159" i="1"/>
  <c r="BW158" i="1"/>
  <c r="BJ158" i="1"/>
  <c r="BD158" i="1"/>
  <c r="AP158" i="1"/>
  <c r="BI158" i="1" s="1"/>
  <c r="AE158" i="1" s="1"/>
  <c r="AO158" i="1"/>
  <c r="AW158" i="1" s="1"/>
  <c r="AK158" i="1"/>
  <c r="AJ158" i="1"/>
  <c r="AH158" i="1"/>
  <c r="AG158" i="1"/>
  <c r="AF158" i="1"/>
  <c r="AC158" i="1"/>
  <c r="AB158" i="1"/>
  <c r="Z158" i="1"/>
  <c r="O158" i="1"/>
  <c r="BF158" i="1" s="1"/>
  <c r="L158" i="1"/>
  <c r="K158" i="1"/>
  <c r="J158" i="1"/>
  <c r="BW156" i="1"/>
  <c r="BJ156" i="1"/>
  <c r="BD156" i="1"/>
  <c r="AP156" i="1"/>
  <c r="BI156" i="1" s="1"/>
  <c r="AE156" i="1" s="1"/>
  <c r="AO156" i="1"/>
  <c r="AW156" i="1" s="1"/>
  <c r="AK156" i="1"/>
  <c r="AJ156" i="1"/>
  <c r="AH156" i="1"/>
  <c r="AG156" i="1"/>
  <c r="AF156" i="1"/>
  <c r="AC156" i="1"/>
  <c r="AB156" i="1"/>
  <c r="Z156" i="1"/>
  <c r="O156" i="1"/>
  <c r="BF156" i="1" s="1"/>
  <c r="L156" i="1"/>
  <c r="BW155" i="1"/>
  <c r="BJ155" i="1"/>
  <c r="BD155" i="1"/>
  <c r="AP155" i="1"/>
  <c r="AX155" i="1" s="1"/>
  <c r="AO155" i="1"/>
  <c r="AW155" i="1" s="1"/>
  <c r="AK155" i="1"/>
  <c r="AJ155" i="1"/>
  <c r="AH155" i="1"/>
  <c r="AG155" i="1"/>
  <c r="AF155" i="1"/>
  <c r="AC155" i="1"/>
  <c r="AB155" i="1"/>
  <c r="Z155" i="1"/>
  <c r="O155" i="1"/>
  <c r="BF155" i="1" s="1"/>
  <c r="L155" i="1"/>
  <c r="K155" i="1"/>
  <c r="BW154" i="1"/>
  <c r="BJ154" i="1"/>
  <c r="BD154" i="1"/>
  <c r="AP154" i="1"/>
  <c r="AX154" i="1" s="1"/>
  <c r="AO154" i="1"/>
  <c r="AW154" i="1" s="1"/>
  <c r="AK154" i="1"/>
  <c r="AJ154" i="1"/>
  <c r="AH154" i="1"/>
  <c r="AG154" i="1"/>
  <c r="AF154" i="1"/>
  <c r="AC154" i="1"/>
  <c r="AB154" i="1"/>
  <c r="Z154" i="1"/>
  <c r="O154" i="1"/>
  <c r="BF154" i="1" s="1"/>
  <c r="L154" i="1"/>
  <c r="K154" i="1"/>
  <c r="BW153" i="1"/>
  <c r="BJ153" i="1"/>
  <c r="BD153" i="1"/>
  <c r="AP153" i="1"/>
  <c r="AX153" i="1" s="1"/>
  <c r="AO153" i="1"/>
  <c r="AW153" i="1" s="1"/>
  <c r="AK153" i="1"/>
  <c r="AJ153" i="1"/>
  <c r="AH153" i="1"/>
  <c r="AG153" i="1"/>
  <c r="AF153" i="1"/>
  <c r="AC153" i="1"/>
  <c r="AB153" i="1"/>
  <c r="Z153" i="1"/>
  <c r="O153" i="1"/>
  <c r="BF153" i="1" s="1"/>
  <c r="L153" i="1"/>
  <c r="BW152" i="1"/>
  <c r="BJ152" i="1"/>
  <c r="BD152" i="1"/>
  <c r="AP152" i="1"/>
  <c r="K152" i="1" s="1"/>
  <c r="AO152" i="1"/>
  <c r="AW152" i="1" s="1"/>
  <c r="AK152" i="1"/>
  <c r="AJ152" i="1"/>
  <c r="AH152" i="1"/>
  <c r="AG152" i="1"/>
  <c r="AF152" i="1"/>
  <c r="AC152" i="1"/>
  <c r="AB152" i="1"/>
  <c r="Z152" i="1"/>
  <c r="O152" i="1"/>
  <c r="BF152" i="1" s="1"/>
  <c r="L152" i="1"/>
  <c r="AL152" i="1" s="1"/>
  <c r="BW150" i="1"/>
  <c r="BJ150" i="1"/>
  <c r="Z150" i="1" s="1"/>
  <c r="BD150" i="1"/>
  <c r="AP150" i="1"/>
  <c r="BI150" i="1" s="1"/>
  <c r="AO150" i="1"/>
  <c r="AW150" i="1" s="1"/>
  <c r="AK150" i="1"/>
  <c r="AJ150" i="1"/>
  <c r="AH150" i="1"/>
  <c r="AG150" i="1"/>
  <c r="AF150" i="1"/>
  <c r="AE150" i="1"/>
  <c r="AD150" i="1"/>
  <c r="AC150" i="1"/>
  <c r="AB150" i="1"/>
  <c r="O150" i="1"/>
  <c r="BF150" i="1" s="1"/>
  <c r="L150" i="1"/>
  <c r="AL150" i="1" s="1"/>
  <c r="BW148" i="1"/>
  <c r="BJ148" i="1"/>
  <c r="BD148" i="1"/>
  <c r="AP148" i="1"/>
  <c r="AX148" i="1" s="1"/>
  <c r="AO148" i="1"/>
  <c r="BH148" i="1" s="1"/>
  <c r="AD148" i="1" s="1"/>
  <c r="AK148" i="1"/>
  <c r="AJ148" i="1"/>
  <c r="AH148" i="1"/>
  <c r="AG148" i="1"/>
  <c r="AF148" i="1"/>
  <c r="AC148" i="1"/>
  <c r="AB148" i="1"/>
  <c r="Z148" i="1"/>
  <c r="O148" i="1"/>
  <c r="BF148" i="1" s="1"/>
  <c r="L148" i="1"/>
  <c r="K148" i="1"/>
  <c r="J148" i="1"/>
  <c r="BW147" i="1"/>
  <c r="BJ147" i="1"/>
  <c r="BD147" i="1"/>
  <c r="AP147" i="1"/>
  <c r="AX147" i="1" s="1"/>
  <c r="AO147" i="1"/>
  <c r="AW147" i="1" s="1"/>
  <c r="AK147" i="1"/>
  <c r="AJ147" i="1"/>
  <c r="AH147" i="1"/>
  <c r="AG147" i="1"/>
  <c r="AF147" i="1"/>
  <c r="AC147" i="1"/>
  <c r="AB147" i="1"/>
  <c r="Z147" i="1"/>
  <c r="O147" i="1"/>
  <c r="BF147" i="1" s="1"/>
  <c r="L147" i="1"/>
  <c r="BW146" i="1"/>
  <c r="BJ146" i="1"/>
  <c r="BD146" i="1"/>
  <c r="AP146" i="1"/>
  <c r="AX146" i="1" s="1"/>
  <c r="AO146" i="1"/>
  <c r="AW146" i="1" s="1"/>
  <c r="AK146" i="1"/>
  <c r="AJ146" i="1"/>
  <c r="AH146" i="1"/>
  <c r="AG146" i="1"/>
  <c r="AF146" i="1"/>
  <c r="AC146" i="1"/>
  <c r="AB146" i="1"/>
  <c r="Z146" i="1"/>
  <c r="O146" i="1"/>
  <c r="BF146" i="1" s="1"/>
  <c r="L146" i="1"/>
  <c r="AL146" i="1" s="1"/>
  <c r="K146" i="1"/>
  <c r="J146" i="1"/>
  <c r="BW145" i="1"/>
  <c r="BJ145" i="1"/>
  <c r="BD145" i="1"/>
  <c r="AX145" i="1"/>
  <c r="AP145" i="1"/>
  <c r="K145" i="1" s="1"/>
  <c r="AO145" i="1"/>
  <c r="BH145" i="1" s="1"/>
  <c r="AD145" i="1" s="1"/>
  <c r="AK145" i="1"/>
  <c r="AJ145" i="1"/>
  <c r="AH145" i="1"/>
  <c r="AG145" i="1"/>
  <c r="AF145" i="1"/>
  <c r="AC145" i="1"/>
  <c r="AB145" i="1"/>
  <c r="Z145" i="1"/>
  <c r="O145" i="1"/>
  <c r="BF145" i="1" s="1"/>
  <c r="L145" i="1"/>
  <c r="BW143" i="1"/>
  <c r="BJ143" i="1"/>
  <c r="BD143" i="1"/>
  <c r="AP143" i="1"/>
  <c r="AX143" i="1" s="1"/>
  <c r="AO143" i="1"/>
  <c r="AW143" i="1" s="1"/>
  <c r="AK143" i="1"/>
  <c r="AJ143" i="1"/>
  <c r="AH143" i="1"/>
  <c r="AG143" i="1"/>
  <c r="AF143" i="1"/>
  <c r="AC143" i="1"/>
  <c r="AB143" i="1"/>
  <c r="Z143" i="1"/>
  <c r="O143" i="1"/>
  <c r="BF143" i="1" s="1"/>
  <c r="L143" i="1"/>
  <c r="AL143" i="1" s="1"/>
  <c r="BW142" i="1"/>
  <c r="BJ142" i="1"/>
  <c r="BD142" i="1"/>
  <c r="AP142" i="1"/>
  <c r="BI142" i="1" s="1"/>
  <c r="AE142" i="1" s="1"/>
  <c r="AO142" i="1"/>
  <c r="BH142" i="1" s="1"/>
  <c r="AD142" i="1" s="1"/>
  <c r="AK142" i="1"/>
  <c r="AJ142" i="1"/>
  <c r="AH142" i="1"/>
  <c r="AG142" i="1"/>
  <c r="AF142" i="1"/>
  <c r="AC142" i="1"/>
  <c r="AB142" i="1"/>
  <c r="Z142" i="1"/>
  <c r="O142" i="1"/>
  <c r="BF142" i="1" s="1"/>
  <c r="L142" i="1"/>
  <c r="AL142" i="1" s="1"/>
  <c r="BW141" i="1"/>
  <c r="BJ141" i="1"/>
  <c r="BD141" i="1"/>
  <c r="AP141" i="1"/>
  <c r="AX141" i="1" s="1"/>
  <c r="AO141" i="1"/>
  <c r="BH141" i="1" s="1"/>
  <c r="AD141" i="1" s="1"/>
  <c r="AK141" i="1"/>
  <c r="AJ141" i="1"/>
  <c r="AH141" i="1"/>
  <c r="AG141" i="1"/>
  <c r="AF141" i="1"/>
  <c r="AC141" i="1"/>
  <c r="AB141" i="1"/>
  <c r="Z141" i="1"/>
  <c r="O141" i="1"/>
  <c r="BF141" i="1" s="1"/>
  <c r="L141" i="1"/>
  <c r="BW140" i="1"/>
  <c r="BJ140" i="1"/>
  <c r="BD140" i="1"/>
  <c r="AP140" i="1"/>
  <c r="AO140" i="1"/>
  <c r="AW140" i="1" s="1"/>
  <c r="AK140" i="1"/>
  <c r="AJ140" i="1"/>
  <c r="AH140" i="1"/>
  <c r="AG140" i="1"/>
  <c r="AF140" i="1"/>
  <c r="AC140" i="1"/>
  <c r="AB140" i="1"/>
  <c r="Z140" i="1"/>
  <c r="O140" i="1"/>
  <c r="BF140" i="1" s="1"/>
  <c r="L140" i="1"/>
  <c r="AL140" i="1" s="1"/>
  <c r="BW138" i="1"/>
  <c r="BJ138" i="1"/>
  <c r="BD138" i="1"/>
  <c r="AP138" i="1"/>
  <c r="BI138" i="1" s="1"/>
  <c r="AE138" i="1" s="1"/>
  <c r="AO138" i="1"/>
  <c r="BH138" i="1" s="1"/>
  <c r="AD138" i="1" s="1"/>
  <c r="AK138" i="1"/>
  <c r="AJ138" i="1"/>
  <c r="AH138" i="1"/>
  <c r="AG138" i="1"/>
  <c r="AF138" i="1"/>
  <c r="AC138" i="1"/>
  <c r="AB138" i="1"/>
  <c r="Z138" i="1"/>
  <c r="O138" i="1"/>
  <c r="BF138" i="1" s="1"/>
  <c r="L138" i="1"/>
  <c r="AL138" i="1" s="1"/>
  <c r="K138" i="1"/>
  <c r="BW136" i="1"/>
  <c r="BJ136" i="1"/>
  <c r="BD136" i="1"/>
  <c r="AP136" i="1"/>
  <c r="BI136" i="1" s="1"/>
  <c r="AE136" i="1" s="1"/>
  <c r="AO136" i="1"/>
  <c r="BH136" i="1" s="1"/>
  <c r="AD136" i="1" s="1"/>
  <c r="AK136" i="1"/>
  <c r="AJ136" i="1"/>
  <c r="AH136" i="1"/>
  <c r="AG136" i="1"/>
  <c r="AF136" i="1"/>
  <c r="AC136" i="1"/>
  <c r="AB136" i="1"/>
  <c r="Z136" i="1"/>
  <c r="O136" i="1"/>
  <c r="BF136" i="1" s="1"/>
  <c r="L136" i="1"/>
  <c r="K136" i="1"/>
  <c r="BW135" i="1"/>
  <c r="BJ135" i="1"/>
  <c r="BD135" i="1"/>
  <c r="AP135" i="1"/>
  <c r="AX135" i="1" s="1"/>
  <c r="AO135" i="1"/>
  <c r="AW135" i="1" s="1"/>
  <c r="AK135" i="1"/>
  <c r="AJ135" i="1"/>
  <c r="AH135" i="1"/>
  <c r="AG135" i="1"/>
  <c r="AF135" i="1"/>
  <c r="AC135" i="1"/>
  <c r="AB135" i="1"/>
  <c r="Z135" i="1"/>
  <c r="O135" i="1"/>
  <c r="BF135" i="1" s="1"/>
  <c r="L135" i="1"/>
  <c r="BW134" i="1"/>
  <c r="BJ134" i="1"/>
  <c r="BD134" i="1"/>
  <c r="AP134" i="1"/>
  <c r="BI134" i="1" s="1"/>
  <c r="AE134" i="1" s="1"/>
  <c r="AO134" i="1"/>
  <c r="AW134" i="1" s="1"/>
  <c r="AK134" i="1"/>
  <c r="AJ134" i="1"/>
  <c r="AH134" i="1"/>
  <c r="AG134" i="1"/>
  <c r="AF134" i="1"/>
  <c r="AC134" i="1"/>
  <c r="AB134" i="1"/>
  <c r="Z134" i="1"/>
  <c r="O134" i="1"/>
  <c r="BF134" i="1" s="1"/>
  <c r="L134" i="1"/>
  <c r="AL134" i="1" s="1"/>
  <c r="K134" i="1"/>
  <c r="J134" i="1"/>
  <c r="BW133" i="1"/>
  <c r="BJ133" i="1"/>
  <c r="BD133" i="1"/>
  <c r="AP133" i="1"/>
  <c r="K133" i="1" s="1"/>
  <c r="AO133" i="1"/>
  <c r="BH133" i="1" s="1"/>
  <c r="AD133" i="1" s="1"/>
  <c r="AK133" i="1"/>
  <c r="AJ133" i="1"/>
  <c r="AH133" i="1"/>
  <c r="AG133" i="1"/>
  <c r="AF133" i="1"/>
  <c r="AC133" i="1"/>
  <c r="AB133" i="1"/>
  <c r="Z133" i="1"/>
  <c r="O133" i="1"/>
  <c r="BF133" i="1" s="1"/>
  <c r="L133" i="1"/>
  <c r="BW132" i="1"/>
  <c r="BJ132" i="1"/>
  <c r="BD132" i="1"/>
  <c r="AP132" i="1"/>
  <c r="AX132" i="1" s="1"/>
  <c r="AO132" i="1"/>
  <c r="AW132" i="1" s="1"/>
  <c r="AK132" i="1"/>
  <c r="AJ132" i="1"/>
  <c r="AH132" i="1"/>
  <c r="AG132" i="1"/>
  <c r="AF132" i="1"/>
  <c r="AC132" i="1"/>
  <c r="AB132" i="1"/>
  <c r="Z132" i="1"/>
  <c r="O132" i="1"/>
  <c r="L132" i="1"/>
  <c r="AL132" i="1" s="1"/>
  <c r="BW129" i="1"/>
  <c r="BJ129" i="1"/>
  <c r="BD129" i="1"/>
  <c r="AP129" i="1"/>
  <c r="AX129" i="1" s="1"/>
  <c r="AV129" i="1" s="1"/>
  <c r="AO129" i="1"/>
  <c r="AW129" i="1" s="1"/>
  <c r="AK129" i="1"/>
  <c r="AT128" i="1" s="1"/>
  <c r="AJ129" i="1"/>
  <c r="AS128" i="1" s="1"/>
  <c r="AH129" i="1"/>
  <c r="AG129" i="1"/>
  <c r="AF129" i="1"/>
  <c r="AC129" i="1"/>
  <c r="AB129" i="1"/>
  <c r="Z129" i="1"/>
  <c r="O129" i="1"/>
  <c r="BF129" i="1" s="1"/>
  <c r="L129" i="1"/>
  <c r="AL129" i="1" s="1"/>
  <c r="AU128" i="1" s="1"/>
  <c r="BW127" i="1"/>
  <c r="BJ127" i="1"/>
  <c r="Z127" i="1" s="1"/>
  <c r="BD127" i="1"/>
  <c r="AP127" i="1"/>
  <c r="AO127" i="1"/>
  <c r="AW127" i="1" s="1"/>
  <c r="AK127" i="1"/>
  <c r="AJ127" i="1"/>
  <c r="AH127" i="1"/>
  <c r="AG127" i="1"/>
  <c r="AF127" i="1"/>
  <c r="AE127" i="1"/>
  <c r="AD127" i="1"/>
  <c r="AC127" i="1"/>
  <c r="AB127" i="1"/>
  <c r="O127" i="1"/>
  <c r="BF127" i="1" s="1"/>
  <c r="L127" i="1"/>
  <c r="AL127" i="1" s="1"/>
  <c r="BW125" i="1"/>
  <c r="BJ125" i="1"/>
  <c r="BD125" i="1"/>
  <c r="AP125" i="1"/>
  <c r="BI125" i="1" s="1"/>
  <c r="AE125" i="1" s="1"/>
  <c r="AO125" i="1"/>
  <c r="BH125" i="1" s="1"/>
  <c r="AD125" i="1" s="1"/>
  <c r="AK125" i="1"/>
  <c r="AJ125" i="1"/>
  <c r="AH125" i="1"/>
  <c r="AG125" i="1"/>
  <c r="AF125" i="1"/>
  <c r="AC125" i="1"/>
  <c r="AB125" i="1"/>
  <c r="Z125" i="1"/>
  <c r="O125" i="1"/>
  <c r="BF125" i="1" s="1"/>
  <c r="L125" i="1"/>
  <c r="AL125" i="1" s="1"/>
  <c r="K125" i="1"/>
  <c r="BW123" i="1"/>
  <c r="BJ123" i="1"/>
  <c r="BD123" i="1"/>
  <c r="AP123" i="1"/>
  <c r="BI123" i="1" s="1"/>
  <c r="AE123" i="1" s="1"/>
  <c r="AO123" i="1"/>
  <c r="BH123" i="1" s="1"/>
  <c r="AD123" i="1" s="1"/>
  <c r="AK123" i="1"/>
  <c r="AJ123" i="1"/>
  <c r="AH123" i="1"/>
  <c r="AG123" i="1"/>
  <c r="AF123" i="1"/>
  <c r="AC123" i="1"/>
  <c r="AB123" i="1"/>
  <c r="Z123" i="1"/>
  <c r="O123" i="1"/>
  <c r="BF123" i="1" s="1"/>
  <c r="L123" i="1"/>
  <c r="K123" i="1"/>
  <c r="BW121" i="1"/>
  <c r="BJ121" i="1"/>
  <c r="BD121" i="1"/>
  <c r="AP121" i="1"/>
  <c r="BI121" i="1" s="1"/>
  <c r="AO121" i="1"/>
  <c r="AW121" i="1" s="1"/>
  <c r="AK121" i="1"/>
  <c r="AJ121" i="1"/>
  <c r="AH121" i="1"/>
  <c r="AG121" i="1"/>
  <c r="AF121" i="1"/>
  <c r="AE121" i="1"/>
  <c r="AD121" i="1"/>
  <c r="AC121" i="1"/>
  <c r="AB121" i="1"/>
  <c r="Z121" i="1"/>
  <c r="O121" i="1"/>
  <c r="BF121" i="1" s="1"/>
  <c r="L121" i="1"/>
  <c r="BW120" i="1"/>
  <c r="BJ120" i="1"/>
  <c r="BD120" i="1"/>
  <c r="AP120" i="1"/>
  <c r="AX120" i="1" s="1"/>
  <c r="AO120" i="1"/>
  <c r="AW120" i="1" s="1"/>
  <c r="AK120" i="1"/>
  <c r="AJ120" i="1"/>
  <c r="AH120" i="1"/>
  <c r="AG120" i="1"/>
  <c r="AF120" i="1"/>
  <c r="AE120" i="1"/>
  <c r="AD120" i="1"/>
  <c r="Z120" i="1"/>
  <c r="O120" i="1"/>
  <c r="L120" i="1"/>
  <c r="AL120" i="1" s="1"/>
  <c r="J120" i="1"/>
  <c r="BW119" i="1"/>
  <c r="BJ119" i="1"/>
  <c r="BD119" i="1"/>
  <c r="AP119" i="1"/>
  <c r="AX119" i="1" s="1"/>
  <c r="AO119" i="1"/>
  <c r="AW119" i="1" s="1"/>
  <c r="AK119" i="1"/>
  <c r="AJ119" i="1"/>
  <c r="AH119" i="1"/>
  <c r="AG119" i="1"/>
  <c r="AF119" i="1"/>
  <c r="AE119" i="1"/>
  <c r="AD119" i="1"/>
  <c r="Z119" i="1"/>
  <c r="O119" i="1"/>
  <c r="BF119" i="1" s="1"/>
  <c r="L119" i="1"/>
  <c r="AL119" i="1" s="1"/>
  <c r="K119" i="1"/>
  <c r="BW117" i="1"/>
  <c r="BJ117" i="1"/>
  <c r="Z117" i="1" s="1"/>
  <c r="BD117" i="1"/>
  <c r="AP117" i="1"/>
  <c r="AX117" i="1" s="1"/>
  <c r="AO117" i="1"/>
  <c r="BH117" i="1" s="1"/>
  <c r="AK117" i="1"/>
  <c r="AJ117" i="1"/>
  <c r="AH117" i="1"/>
  <c r="AG117" i="1"/>
  <c r="AF117" i="1"/>
  <c r="AE117" i="1"/>
  <c r="AD117" i="1"/>
  <c r="AC117" i="1"/>
  <c r="AB117" i="1"/>
  <c r="O117" i="1"/>
  <c r="BF117" i="1" s="1"/>
  <c r="L117" i="1"/>
  <c r="M117" i="1" s="1"/>
  <c r="BW115" i="1"/>
  <c r="BJ115" i="1"/>
  <c r="BD115" i="1"/>
  <c r="AP115" i="1"/>
  <c r="BI115" i="1" s="1"/>
  <c r="AC115" i="1" s="1"/>
  <c r="AO115" i="1"/>
  <c r="AW115" i="1" s="1"/>
  <c r="AK115" i="1"/>
  <c r="AJ115" i="1"/>
  <c r="AH115" i="1"/>
  <c r="AG115" i="1"/>
  <c r="AF115" i="1"/>
  <c r="AE115" i="1"/>
  <c r="AD115" i="1"/>
  <c r="Z115" i="1"/>
  <c r="O115" i="1"/>
  <c r="BF115" i="1" s="1"/>
  <c r="L115" i="1"/>
  <c r="J115" i="1"/>
  <c r="BW112" i="1"/>
  <c r="BJ112" i="1"/>
  <c r="BD112" i="1"/>
  <c r="AP112" i="1"/>
  <c r="AO112" i="1"/>
  <c r="AW112" i="1" s="1"/>
  <c r="AK112" i="1"/>
  <c r="AJ112" i="1"/>
  <c r="AH112" i="1"/>
  <c r="AG112" i="1"/>
  <c r="AF112" i="1"/>
  <c r="AE112" i="1"/>
  <c r="AD112" i="1"/>
  <c r="Z112" i="1"/>
  <c r="O112" i="1"/>
  <c r="L112" i="1"/>
  <c r="AL112" i="1" s="1"/>
  <c r="BW110" i="1"/>
  <c r="BJ110" i="1"/>
  <c r="BD110" i="1"/>
  <c r="AP110" i="1"/>
  <c r="BI110" i="1" s="1"/>
  <c r="AC110" i="1" s="1"/>
  <c r="AO110" i="1"/>
  <c r="BH110" i="1" s="1"/>
  <c r="AB110" i="1" s="1"/>
  <c r="AK110" i="1"/>
  <c r="AJ110" i="1"/>
  <c r="AH110" i="1"/>
  <c r="AG110" i="1"/>
  <c r="AF110" i="1"/>
  <c r="AE110" i="1"/>
  <c r="AD110" i="1"/>
  <c r="Z110" i="1"/>
  <c r="O110" i="1"/>
  <c r="BF110" i="1" s="1"/>
  <c r="L110" i="1"/>
  <c r="AL110" i="1" s="1"/>
  <c r="J110" i="1"/>
  <c r="BW108" i="1"/>
  <c r="BJ108" i="1"/>
  <c r="Z108" i="1" s="1"/>
  <c r="BD108" i="1"/>
  <c r="AP108" i="1"/>
  <c r="BI108" i="1" s="1"/>
  <c r="AO108" i="1"/>
  <c r="BH108" i="1" s="1"/>
  <c r="AK108" i="1"/>
  <c r="AJ108" i="1"/>
  <c r="AH108" i="1"/>
  <c r="AG108" i="1"/>
  <c r="AF108" i="1"/>
  <c r="AE108" i="1"/>
  <c r="AD108" i="1"/>
  <c r="AC108" i="1"/>
  <c r="AB108" i="1"/>
  <c r="O108" i="1"/>
  <c r="BF108" i="1" s="1"/>
  <c r="L108" i="1"/>
  <c r="M108" i="1" s="1"/>
  <c r="BW106" i="1"/>
  <c r="BJ106" i="1"/>
  <c r="BD106" i="1"/>
  <c r="AP106" i="1"/>
  <c r="BI106" i="1" s="1"/>
  <c r="AC106" i="1" s="1"/>
  <c r="AO106" i="1"/>
  <c r="AW106" i="1" s="1"/>
  <c r="AK106" i="1"/>
  <c r="AJ106" i="1"/>
  <c r="AH106" i="1"/>
  <c r="AG106" i="1"/>
  <c r="AF106" i="1"/>
  <c r="AE106" i="1"/>
  <c r="AD106" i="1"/>
  <c r="Z106" i="1"/>
  <c r="O106" i="1"/>
  <c r="BF106" i="1" s="1"/>
  <c r="L106" i="1"/>
  <c r="BW104" i="1"/>
  <c r="BJ104" i="1"/>
  <c r="BD104" i="1"/>
  <c r="AP104" i="1"/>
  <c r="BI104" i="1" s="1"/>
  <c r="AC104" i="1" s="1"/>
  <c r="AO104" i="1"/>
  <c r="AW104" i="1" s="1"/>
  <c r="AK104" i="1"/>
  <c r="AJ104" i="1"/>
  <c r="AH104" i="1"/>
  <c r="AG104" i="1"/>
  <c r="AF104" i="1"/>
  <c r="AE104" i="1"/>
  <c r="AD104" i="1"/>
  <c r="Z104" i="1"/>
  <c r="O104" i="1"/>
  <c r="L104" i="1"/>
  <c r="AL104" i="1" s="1"/>
  <c r="BW103" i="1"/>
  <c r="BJ103" i="1"/>
  <c r="BD103" i="1"/>
  <c r="AP103" i="1"/>
  <c r="BI103" i="1" s="1"/>
  <c r="AC103" i="1" s="1"/>
  <c r="AO103" i="1"/>
  <c r="BH103" i="1" s="1"/>
  <c r="AB103" i="1" s="1"/>
  <c r="AK103" i="1"/>
  <c r="AJ103" i="1"/>
  <c r="AH103" i="1"/>
  <c r="AG103" i="1"/>
  <c r="AF103" i="1"/>
  <c r="AE103" i="1"/>
  <c r="AD103" i="1"/>
  <c r="Z103" i="1"/>
  <c r="O103" i="1"/>
  <c r="BF103" i="1" s="1"/>
  <c r="L103" i="1"/>
  <c r="AL103" i="1" s="1"/>
  <c r="BW101" i="1"/>
  <c r="BJ101" i="1"/>
  <c r="BD101" i="1"/>
  <c r="AP101" i="1"/>
  <c r="AX101" i="1" s="1"/>
  <c r="AO101" i="1"/>
  <c r="BH101" i="1" s="1"/>
  <c r="AB101" i="1" s="1"/>
  <c r="AK101" i="1"/>
  <c r="AJ101" i="1"/>
  <c r="AS100" i="1" s="1"/>
  <c r="AH101" i="1"/>
  <c r="AG101" i="1"/>
  <c r="AF101" i="1"/>
  <c r="AE101" i="1"/>
  <c r="AD101" i="1"/>
  <c r="Z101" i="1"/>
  <c r="O101" i="1"/>
  <c r="BF101" i="1" s="1"/>
  <c r="L101" i="1"/>
  <c r="AL101" i="1" s="1"/>
  <c r="K101" i="1"/>
  <c r="J101" i="1"/>
  <c r="BW99" i="1"/>
  <c r="BJ99" i="1"/>
  <c r="Z99" i="1" s="1"/>
  <c r="BF99" i="1"/>
  <c r="BD99" i="1"/>
  <c r="AP99" i="1"/>
  <c r="AX99" i="1" s="1"/>
  <c r="AO99" i="1"/>
  <c r="AW99" i="1" s="1"/>
  <c r="AK99" i="1"/>
  <c r="AJ99" i="1"/>
  <c r="AH99" i="1"/>
  <c r="AG99" i="1"/>
  <c r="AF99" i="1"/>
  <c r="AE99" i="1"/>
  <c r="AD99" i="1"/>
  <c r="AC99" i="1"/>
  <c r="AB99" i="1"/>
  <c r="O99" i="1"/>
  <c r="L99" i="1"/>
  <c r="AL99" i="1" s="1"/>
  <c r="J99" i="1"/>
  <c r="BW98" i="1"/>
  <c r="BJ98" i="1"/>
  <c r="BD98" i="1"/>
  <c r="AP98" i="1"/>
  <c r="AX98" i="1" s="1"/>
  <c r="AO98" i="1"/>
  <c r="BH98" i="1" s="1"/>
  <c r="AB98" i="1" s="1"/>
  <c r="AK98" i="1"/>
  <c r="AJ98" i="1"/>
  <c r="AH98" i="1"/>
  <c r="AG98" i="1"/>
  <c r="AF98" i="1"/>
  <c r="AE98" i="1"/>
  <c r="AD98" i="1"/>
  <c r="Z98" i="1"/>
  <c r="O98" i="1"/>
  <c r="BF98" i="1" s="1"/>
  <c r="L98" i="1"/>
  <c r="AL98" i="1" s="1"/>
  <c r="BW96" i="1"/>
  <c r="BJ96" i="1"/>
  <c r="BF96" i="1"/>
  <c r="BD96" i="1"/>
  <c r="AP96" i="1"/>
  <c r="BI96" i="1" s="1"/>
  <c r="AC96" i="1" s="1"/>
  <c r="AO96" i="1"/>
  <c r="BH96" i="1" s="1"/>
  <c r="AB96" i="1" s="1"/>
  <c r="AK96" i="1"/>
  <c r="AJ96" i="1"/>
  <c r="AH96" i="1"/>
  <c r="AG96" i="1"/>
  <c r="AF96" i="1"/>
  <c r="AE96" i="1"/>
  <c r="AD96" i="1"/>
  <c r="Z96" i="1"/>
  <c r="O96" i="1"/>
  <c r="L96" i="1"/>
  <c r="AL96" i="1" s="1"/>
  <c r="BW95" i="1"/>
  <c r="BJ95" i="1"/>
  <c r="BD95" i="1"/>
  <c r="AP95" i="1"/>
  <c r="AX95" i="1" s="1"/>
  <c r="AO95" i="1"/>
  <c r="BH95" i="1" s="1"/>
  <c r="AB95" i="1" s="1"/>
  <c r="AK95" i="1"/>
  <c r="AJ95" i="1"/>
  <c r="AH95" i="1"/>
  <c r="AG95" i="1"/>
  <c r="AF95" i="1"/>
  <c r="AE95" i="1"/>
  <c r="AD95" i="1"/>
  <c r="Z95" i="1"/>
  <c r="O95" i="1"/>
  <c r="BF95" i="1" s="1"/>
  <c r="L95" i="1"/>
  <c r="AL95" i="1" s="1"/>
  <c r="K95" i="1"/>
  <c r="J95" i="1"/>
  <c r="BW93" i="1"/>
  <c r="BJ93" i="1"/>
  <c r="BD93" i="1"/>
  <c r="AP93" i="1"/>
  <c r="AX93" i="1" s="1"/>
  <c r="AO93" i="1"/>
  <c r="BH93" i="1" s="1"/>
  <c r="AB93" i="1" s="1"/>
  <c r="AK93" i="1"/>
  <c r="AJ93" i="1"/>
  <c r="AH93" i="1"/>
  <c r="AG93" i="1"/>
  <c r="AF93" i="1"/>
  <c r="AE93" i="1"/>
  <c r="AD93" i="1"/>
  <c r="Z93" i="1"/>
  <c r="O93" i="1"/>
  <c r="BF93" i="1" s="1"/>
  <c r="M93" i="1"/>
  <c r="L93" i="1"/>
  <c r="AL93" i="1" s="1"/>
  <c r="K93" i="1"/>
  <c r="BW91" i="1"/>
  <c r="BJ91" i="1"/>
  <c r="BD91" i="1"/>
  <c r="AP91" i="1"/>
  <c r="AX91" i="1" s="1"/>
  <c r="AO91" i="1"/>
  <c r="BH91" i="1" s="1"/>
  <c r="AF91" i="1" s="1"/>
  <c r="AK91" i="1"/>
  <c r="AT90" i="1" s="1"/>
  <c r="AJ91" i="1"/>
  <c r="AS90" i="1" s="1"/>
  <c r="AH91" i="1"/>
  <c r="AE91" i="1"/>
  <c r="AD91" i="1"/>
  <c r="AC91" i="1"/>
  <c r="AB91" i="1"/>
  <c r="Z91" i="1"/>
  <c r="O91" i="1"/>
  <c r="BF91" i="1" s="1"/>
  <c r="L91" i="1"/>
  <c r="AL91" i="1" s="1"/>
  <c r="AU90" i="1" s="1"/>
  <c r="K91" i="1"/>
  <c r="K90" i="1" s="1"/>
  <c r="E15" i="3" s="1"/>
  <c r="BW88" i="1"/>
  <c r="BJ88" i="1"/>
  <c r="BD88" i="1"/>
  <c r="AP88" i="1"/>
  <c r="AX88" i="1" s="1"/>
  <c r="AO88" i="1"/>
  <c r="BH88" i="1" s="1"/>
  <c r="AB88" i="1" s="1"/>
  <c r="AK88" i="1"/>
  <c r="AJ88" i="1"/>
  <c r="AH88" i="1"/>
  <c r="AG88" i="1"/>
  <c r="AF88" i="1"/>
  <c r="AE88" i="1"/>
  <c r="AD88" i="1"/>
  <c r="Z88" i="1"/>
  <c r="O88" i="1"/>
  <c r="BF88" i="1" s="1"/>
  <c r="L88" i="1"/>
  <c r="AL88" i="1" s="1"/>
  <c r="BW86" i="1"/>
  <c r="BJ86" i="1"/>
  <c r="BD86" i="1"/>
  <c r="AP86" i="1"/>
  <c r="BI86" i="1" s="1"/>
  <c r="AC86" i="1" s="1"/>
  <c r="AO86" i="1"/>
  <c r="BH86" i="1" s="1"/>
  <c r="AB86" i="1" s="1"/>
  <c r="AK86" i="1"/>
  <c r="AJ86" i="1"/>
  <c r="AH86" i="1"/>
  <c r="AG86" i="1"/>
  <c r="AF86" i="1"/>
  <c r="AE86" i="1"/>
  <c r="AD86" i="1"/>
  <c r="Z86" i="1"/>
  <c r="O86" i="1"/>
  <c r="BF86" i="1" s="1"/>
  <c r="L86" i="1"/>
  <c r="AL86" i="1" s="1"/>
  <c r="BW85" i="1"/>
  <c r="BJ85" i="1"/>
  <c r="BF85" i="1"/>
  <c r="BD85" i="1"/>
  <c r="AP85" i="1"/>
  <c r="AX85" i="1" s="1"/>
  <c r="AO85" i="1"/>
  <c r="BH85" i="1" s="1"/>
  <c r="AB85" i="1" s="1"/>
  <c r="AK85" i="1"/>
  <c r="AJ85" i="1"/>
  <c r="AH85" i="1"/>
  <c r="AG85" i="1"/>
  <c r="AF85" i="1"/>
  <c r="AE85" i="1"/>
  <c r="AD85" i="1"/>
  <c r="Z85" i="1"/>
  <c r="O85" i="1"/>
  <c r="L85" i="1"/>
  <c r="AL85" i="1" s="1"/>
  <c r="J85" i="1"/>
  <c r="BW83" i="1"/>
  <c r="BJ83" i="1"/>
  <c r="BD83" i="1"/>
  <c r="AP83" i="1"/>
  <c r="AX83" i="1" s="1"/>
  <c r="AO83" i="1"/>
  <c r="BH83" i="1" s="1"/>
  <c r="AB83" i="1" s="1"/>
  <c r="AK83" i="1"/>
  <c r="AJ83" i="1"/>
  <c r="AH83" i="1"/>
  <c r="AG83" i="1"/>
  <c r="AF83" i="1"/>
  <c r="AE83" i="1"/>
  <c r="AD83" i="1"/>
  <c r="Z83" i="1"/>
  <c r="O83" i="1"/>
  <c r="BF83" i="1" s="1"/>
  <c r="L83" i="1"/>
  <c r="AL83" i="1" s="1"/>
  <c r="BW81" i="1"/>
  <c r="BJ81" i="1"/>
  <c r="BD81" i="1"/>
  <c r="AP81" i="1"/>
  <c r="BI81" i="1" s="1"/>
  <c r="AC81" i="1" s="1"/>
  <c r="AO81" i="1"/>
  <c r="BH81" i="1" s="1"/>
  <c r="AB81" i="1" s="1"/>
  <c r="AK81" i="1"/>
  <c r="AJ81" i="1"/>
  <c r="AH81" i="1"/>
  <c r="AG81" i="1"/>
  <c r="AF81" i="1"/>
  <c r="AE81" i="1"/>
  <c r="AD81" i="1"/>
  <c r="Z81" i="1"/>
  <c r="O81" i="1"/>
  <c r="BF81" i="1" s="1"/>
  <c r="L81" i="1"/>
  <c r="AL81" i="1" s="1"/>
  <c r="BW79" i="1"/>
  <c r="BJ79" i="1"/>
  <c r="BD79" i="1"/>
  <c r="AP79" i="1"/>
  <c r="AX79" i="1" s="1"/>
  <c r="AO79" i="1"/>
  <c r="BH79" i="1" s="1"/>
  <c r="AB79" i="1" s="1"/>
  <c r="AK79" i="1"/>
  <c r="AJ79" i="1"/>
  <c r="AH79" i="1"/>
  <c r="AG79" i="1"/>
  <c r="AF79" i="1"/>
  <c r="AE79" i="1"/>
  <c r="AD79" i="1"/>
  <c r="Z79" i="1"/>
  <c r="O79" i="1"/>
  <c r="BF79" i="1" s="1"/>
  <c r="L79" i="1"/>
  <c r="AL79" i="1" s="1"/>
  <c r="BW77" i="1"/>
  <c r="BJ77" i="1"/>
  <c r="BD77" i="1"/>
  <c r="AP77" i="1"/>
  <c r="AX77" i="1" s="1"/>
  <c r="AO77" i="1"/>
  <c r="BH77" i="1" s="1"/>
  <c r="AB77" i="1" s="1"/>
  <c r="AK77" i="1"/>
  <c r="AJ77" i="1"/>
  <c r="AH77" i="1"/>
  <c r="AG77" i="1"/>
  <c r="AF77" i="1"/>
  <c r="AE77" i="1"/>
  <c r="AD77" i="1"/>
  <c r="Z77" i="1"/>
  <c r="O77" i="1"/>
  <c r="BF77" i="1" s="1"/>
  <c r="L77" i="1"/>
  <c r="AL77" i="1" s="1"/>
  <c r="BW75" i="1"/>
  <c r="BJ75" i="1"/>
  <c r="BD75" i="1"/>
  <c r="AP75" i="1"/>
  <c r="BI75" i="1" s="1"/>
  <c r="AC75" i="1" s="1"/>
  <c r="AO75" i="1"/>
  <c r="BH75" i="1" s="1"/>
  <c r="AB75" i="1" s="1"/>
  <c r="AK75" i="1"/>
  <c r="AJ75" i="1"/>
  <c r="AH75" i="1"/>
  <c r="AG75" i="1"/>
  <c r="AF75" i="1"/>
  <c r="AE75" i="1"/>
  <c r="AD75" i="1"/>
  <c r="Z75" i="1"/>
  <c r="O75" i="1"/>
  <c r="BF75" i="1" s="1"/>
  <c r="L75" i="1"/>
  <c r="AL75" i="1" s="1"/>
  <c r="BW73" i="1"/>
  <c r="BJ73" i="1"/>
  <c r="BD73" i="1"/>
  <c r="AP73" i="1"/>
  <c r="AX73" i="1" s="1"/>
  <c r="AO73" i="1"/>
  <c r="AW73" i="1" s="1"/>
  <c r="AK73" i="1"/>
  <c r="AJ73" i="1"/>
  <c r="AH73" i="1"/>
  <c r="AG73" i="1"/>
  <c r="AF73" i="1"/>
  <c r="AE73" i="1"/>
  <c r="AD73" i="1"/>
  <c r="Z73" i="1"/>
  <c r="O73" i="1"/>
  <c r="BF73" i="1" s="1"/>
  <c r="L73" i="1"/>
  <c r="AL73" i="1" s="1"/>
  <c r="K73" i="1"/>
  <c r="J73" i="1"/>
  <c r="BW71" i="1"/>
  <c r="BJ71" i="1"/>
  <c r="BD71" i="1"/>
  <c r="AP71" i="1"/>
  <c r="AX71" i="1" s="1"/>
  <c r="AO71" i="1"/>
  <c r="BH71" i="1" s="1"/>
  <c r="AB71" i="1" s="1"/>
  <c r="AK71" i="1"/>
  <c r="AJ71" i="1"/>
  <c r="AH71" i="1"/>
  <c r="AG71" i="1"/>
  <c r="AF71" i="1"/>
  <c r="AE71" i="1"/>
  <c r="AD71" i="1"/>
  <c r="Z71" i="1"/>
  <c r="O71" i="1"/>
  <c r="BF71" i="1" s="1"/>
  <c r="L71" i="1"/>
  <c r="AL71" i="1" s="1"/>
  <c r="BW69" i="1"/>
  <c r="BJ69" i="1"/>
  <c r="BD69" i="1"/>
  <c r="AP69" i="1"/>
  <c r="BI69" i="1" s="1"/>
  <c r="AC69" i="1" s="1"/>
  <c r="AO69" i="1"/>
  <c r="BH69" i="1" s="1"/>
  <c r="AB69" i="1" s="1"/>
  <c r="AK69" i="1"/>
  <c r="AJ69" i="1"/>
  <c r="AH69" i="1"/>
  <c r="AG69" i="1"/>
  <c r="AF69" i="1"/>
  <c r="AE69" i="1"/>
  <c r="AD69" i="1"/>
  <c r="Z69" i="1"/>
  <c r="O69" i="1"/>
  <c r="BF69" i="1" s="1"/>
  <c r="L69" i="1"/>
  <c r="AL69" i="1" s="1"/>
  <c r="BW67" i="1"/>
  <c r="BJ67" i="1"/>
  <c r="BD67" i="1"/>
  <c r="AP67" i="1"/>
  <c r="AX67" i="1" s="1"/>
  <c r="AO67" i="1"/>
  <c r="AW67" i="1" s="1"/>
  <c r="AK67" i="1"/>
  <c r="AJ67" i="1"/>
  <c r="AH67" i="1"/>
  <c r="AG67" i="1"/>
  <c r="AF67" i="1"/>
  <c r="AE67" i="1"/>
  <c r="AD67" i="1"/>
  <c r="Z67" i="1"/>
  <c r="O67" i="1"/>
  <c r="BF67" i="1" s="1"/>
  <c r="L67" i="1"/>
  <c r="AL67" i="1" s="1"/>
  <c r="BW65" i="1"/>
  <c r="BJ65" i="1"/>
  <c r="BD65" i="1"/>
  <c r="AP65" i="1"/>
  <c r="AX65" i="1" s="1"/>
  <c r="AO65" i="1"/>
  <c r="BH65" i="1" s="1"/>
  <c r="AB65" i="1" s="1"/>
  <c r="AK65" i="1"/>
  <c r="AJ65" i="1"/>
  <c r="AH65" i="1"/>
  <c r="AG65" i="1"/>
  <c r="AF65" i="1"/>
  <c r="AE65" i="1"/>
  <c r="AD65" i="1"/>
  <c r="Z65" i="1"/>
  <c r="O65" i="1"/>
  <c r="BF65" i="1" s="1"/>
  <c r="L65" i="1"/>
  <c r="AL65" i="1" s="1"/>
  <c r="K65" i="1"/>
  <c r="BW63" i="1"/>
  <c r="BJ63" i="1"/>
  <c r="BD63" i="1"/>
  <c r="AP63" i="1"/>
  <c r="BI63" i="1" s="1"/>
  <c r="AC63" i="1" s="1"/>
  <c r="AO63" i="1"/>
  <c r="BH63" i="1" s="1"/>
  <c r="AB63" i="1" s="1"/>
  <c r="AK63" i="1"/>
  <c r="AJ63" i="1"/>
  <c r="AH63" i="1"/>
  <c r="AG63" i="1"/>
  <c r="AF63" i="1"/>
  <c r="AE63" i="1"/>
  <c r="AD63" i="1"/>
  <c r="Z63" i="1"/>
  <c r="O63" i="1"/>
  <c r="BF63" i="1" s="1"/>
  <c r="L63" i="1"/>
  <c r="AL63" i="1" s="1"/>
  <c r="BW62" i="1"/>
  <c r="BJ62" i="1"/>
  <c r="BD62" i="1"/>
  <c r="AP62" i="1"/>
  <c r="AX62" i="1" s="1"/>
  <c r="AO62" i="1"/>
  <c r="AW62" i="1" s="1"/>
  <c r="AK62" i="1"/>
  <c r="AJ62" i="1"/>
  <c r="AH62" i="1"/>
  <c r="AG62" i="1"/>
  <c r="AF62" i="1"/>
  <c r="AE62" i="1"/>
  <c r="AD62" i="1"/>
  <c r="Z62" i="1"/>
  <c r="O62" i="1"/>
  <c r="BF62" i="1" s="1"/>
  <c r="L62" i="1"/>
  <c r="AL62" i="1" s="1"/>
  <c r="BW61" i="1"/>
  <c r="BJ61" i="1"/>
  <c r="BD61" i="1"/>
  <c r="AP61" i="1"/>
  <c r="AX61" i="1" s="1"/>
  <c r="AO61" i="1"/>
  <c r="BH61" i="1" s="1"/>
  <c r="AB61" i="1" s="1"/>
  <c r="AK61" i="1"/>
  <c r="AJ61" i="1"/>
  <c r="AH61" i="1"/>
  <c r="AG61" i="1"/>
  <c r="AF61" i="1"/>
  <c r="AE61" i="1"/>
  <c r="AD61" i="1"/>
  <c r="Z61" i="1"/>
  <c r="O61" i="1"/>
  <c r="BF61" i="1" s="1"/>
  <c r="L61" i="1"/>
  <c r="AL61" i="1" s="1"/>
  <c r="BW60" i="1"/>
  <c r="BJ60" i="1"/>
  <c r="BD60" i="1"/>
  <c r="AP60" i="1"/>
  <c r="BI60" i="1" s="1"/>
  <c r="AC60" i="1" s="1"/>
  <c r="AO60" i="1"/>
  <c r="BH60" i="1" s="1"/>
  <c r="AB60" i="1" s="1"/>
  <c r="AK60" i="1"/>
  <c r="AJ60" i="1"/>
  <c r="AH60" i="1"/>
  <c r="AG60" i="1"/>
  <c r="AF60" i="1"/>
  <c r="AE60" i="1"/>
  <c r="AD60" i="1"/>
  <c r="Z60" i="1"/>
  <c r="O60" i="1"/>
  <c r="BF60" i="1" s="1"/>
  <c r="L60" i="1"/>
  <c r="AL60" i="1" s="1"/>
  <c r="BW58" i="1"/>
  <c r="BJ58" i="1"/>
  <c r="Z58" i="1" s="1"/>
  <c r="BD58" i="1"/>
  <c r="AP58" i="1"/>
  <c r="BI58" i="1" s="1"/>
  <c r="AO58" i="1"/>
  <c r="BH58" i="1" s="1"/>
  <c r="AK58" i="1"/>
  <c r="AJ58" i="1"/>
  <c r="AH58" i="1"/>
  <c r="AG58" i="1"/>
  <c r="AF58" i="1"/>
  <c r="AE58" i="1"/>
  <c r="AD58" i="1"/>
  <c r="AC58" i="1"/>
  <c r="AB58" i="1"/>
  <c r="O58" i="1"/>
  <c r="BF58" i="1" s="1"/>
  <c r="L58" i="1"/>
  <c r="AL58" i="1" s="1"/>
  <c r="BW57" i="1"/>
  <c r="BJ57" i="1"/>
  <c r="Z57" i="1" s="1"/>
  <c r="BF57" i="1"/>
  <c r="BD57" i="1"/>
  <c r="AP57" i="1"/>
  <c r="AX57" i="1" s="1"/>
  <c r="AO57" i="1"/>
  <c r="BH57" i="1" s="1"/>
  <c r="AK57" i="1"/>
  <c r="AJ57" i="1"/>
  <c r="AH57" i="1"/>
  <c r="AG57" i="1"/>
  <c r="AF57" i="1"/>
  <c r="AE57" i="1"/>
  <c r="AD57" i="1"/>
  <c r="AC57" i="1"/>
  <c r="AB57" i="1"/>
  <c r="O57" i="1"/>
  <c r="L57" i="1"/>
  <c r="AL57" i="1" s="1"/>
  <c r="BW56" i="1"/>
  <c r="BJ56" i="1"/>
  <c r="Z56" i="1" s="1"/>
  <c r="BD56" i="1"/>
  <c r="AP56" i="1"/>
  <c r="AX56" i="1" s="1"/>
  <c r="AO56" i="1"/>
  <c r="BH56" i="1" s="1"/>
  <c r="AK56" i="1"/>
  <c r="AJ56" i="1"/>
  <c r="AH56" i="1"/>
  <c r="AG56" i="1"/>
  <c r="AF56" i="1"/>
  <c r="AE56" i="1"/>
  <c r="AD56" i="1"/>
  <c r="AC56" i="1"/>
  <c r="AB56" i="1"/>
  <c r="O56" i="1"/>
  <c r="BF56" i="1" s="1"/>
  <c r="L56" i="1"/>
  <c r="AL56" i="1" s="1"/>
  <c r="K56" i="1"/>
  <c r="BW55" i="1"/>
  <c r="BJ55" i="1"/>
  <c r="Z55" i="1" s="1"/>
  <c r="BD55" i="1"/>
  <c r="AP55" i="1"/>
  <c r="BI55" i="1" s="1"/>
  <c r="AO55" i="1"/>
  <c r="BH55" i="1" s="1"/>
  <c r="AK55" i="1"/>
  <c r="AJ55" i="1"/>
  <c r="AH55" i="1"/>
  <c r="AG55" i="1"/>
  <c r="AF55" i="1"/>
  <c r="AE55" i="1"/>
  <c r="AD55" i="1"/>
  <c r="AC55" i="1"/>
  <c r="AB55" i="1"/>
  <c r="O55" i="1"/>
  <c r="BF55" i="1" s="1"/>
  <c r="L55" i="1"/>
  <c r="AL55" i="1" s="1"/>
  <c r="J55" i="1"/>
  <c r="BW54" i="1"/>
  <c r="BJ54" i="1"/>
  <c r="Z54" i="1" s="1"/>
  <c r="BD54" i="1"/>
  <c r="AP54" i="1"/>
  <c r="AX54" i="1" s="1"/>
  <c r="AO54" i="1"/>
  <c r="AW54" i="1" s="1"/>
  <c r="AK54" i="1"/>
  <c r="AJ54" i="1"/>
  <c r="AH54" i="1"/>
  <c r="AG54" i="1"/>
  <c r="AF54" i="1"/>
  <c r="AE54" i="1"/>
  <c r="AD54" i="1"/>
  <c r="AC54" i="1"/>
  <c r="AB54" i="1"/>
  <c r="O54" i="1"/>
  <c r="BF54" i="1" s="1"/>
  <c r="L54" i="1"/>
  <c r="AL54" i="1" s="1"/>
  <c r="BW53" i="1"/>
  <c r="BJ53" i="1"/>
  <c r="BD53" i="1"/>
  <c r="AP53" i="1"/>
  <c r="AX53" i="1" s="1"/>
  <c r="AO53" i="1"/>
  <c r="BH53" i="1" s="1"/>
  <c r="AK53" i="1"/>
  <c r="AJ53" i="1"/>
  <c r="AH53" i="1"/>
  <c r="AG53" i="1"/>
  <c r="AF53" i="1"/>
  <c r="AE53" i="1"/>
  <c r="AD53" i="1"/>
  <c r="AC53" i="1"/>
  <c r="AB53" i="1"/>
  <c r="Z53" i="1"/>
  <c r="O53" i="1"/>
  <c r="BF53" i="1" s="1"/>
  <c r="L53" i="1"/>
  <c r="AL53" i="1" s="1"/>
  <c r="BW52" i="1"/>
  <c r="BJ52" i="1"/>
  <c r="Z52" i="1" s="1"/>
  <c r="BD52" i="1"/>
  <c r="AP52" i="1"/>
  <c r="BI52" i="1" s="1"/>
  <c r="AO52" i="1"/>
  <c r="BH52" i="1" s="1"/>
  <c r="AK52" i="1"/>
  <c r="AJ52" i="1"/>
  <c r="AH52" i="1"/>
  <c r="AG52" i="1"/>
  <c r="AF52" i="1"/>
  <c r="AE52" i="1"/>
  <c r="AD52" i="1"/>
  <c r="AC52" i="1"/>
  <c r="AB52" i="1"/>
  <c r="O52" i="1"/>
  <c r="BF52" i="1" s="1"/>
  <c r="L52" i="1"/>
  <c r="AL52" i="1" s="1"/>
  <c r="J52" i="1"/>
  <c r="BW51" i="1"/>
  <c r="BJ51" i="1"/>
  <c r="BF51" i="1"/>
  <c r="BD51" i="1"/>
  <c r="AP51" i="1"/>
  <c r="AX51" i="1" s="1"/>
  <c r="AO51" i="1"/>
  <c r="BH51" i="1" s="1"/>
  <c r="AK51" i="1"/>
  <c r="AJ51" i="1"/>
  <c r="AH51" i="1"/>
  <c r="AG51" i="1"/>
  <c r="AF51" i="1"/>
  <c r="AE51" i="1"/>
  <c r="AD51" i="1"/>
  <c r="AC51" i="1"/>
  <c r="AB51" i="1"/>
  <c r="Z51" i="1"/>
  <c r="O51" i="1"/>
  <c r="L51" i="1"/>
  <c r="AL51" i="1" s="1"/>
  <c r="BW50" i="1"/>
  <c r="BJ50" i="1"/>
  <c r="Z50" i="1" s="1"/>
  <c r="BD50" i="1"/>
  <c r="AP50" i="1"/>
  <c r="AX50" i="1" s="1"/>
  <c r="AO50" i="1"/>
  <c r="BH50" i="1" s="1"/>
  <c r="AK50" i="1"/>
  <c r="AJ50" i="1"/>
  <c r="AH50" i="1"/>
  <c r="AG50" i="1"/>
  <c r="AF50" i="1"/>
  <c r="AE50" i="1"/>
  <c r="AD50" i="1"/>
  <c r="AC50" i="1"/>
  <c r="AB50" i="1"/>
  <c r="O50" i="1"/>
  <c r="BF50" i="1" s="1"/>
  <c r="M50" i="1"/>
  <c r="L50" i="1"/>
  <c r="AL50" i="1" s="1"/>
  <c r="BW49" i="1"/>
  <c r="BJ49" i="1"/>
  <c r="BD49" i="1"/>
  <c r="AP49" i="1"/>
  <c r="BI49" i="1" s="1"/>
  <c r="AC49" i="1" s="1"/>
  <c r="AO49" i="1"/>
  <c r="BH49" i="1" s="1"/>
  <c r="AB49" i="1" s="1"/>
  <c r="AK49" i="1"/>
  <c r="AJ49" i="1"/>
  <c r="AH49" i="1"/>
  <c r="AG49" i="1"/>
  <c r="AF49" i="1"/>
  <c r="AE49" i="1"/>
  <c r="AD49" i="1"/>
  <c r="Z49" i="1"/>
  <c r="O49" i="1"/>
  <c r="BF49" i="1" s="1"/>
  <c r="L49" i="1"/>
  <c r="AL49" i="1" s="1"/>
  <c r="J49" i="1"/>
  <c r="BW48" i="1"/>
  <c r="BJ48" i="1"/>
  <c r="BD48" i="1"/>
  <c r="AP48" i="1"/>
  <c r="AX48" i="1" s="1"/>
  <c r="AO48" i="1"/>
  <c r="BH48" i="1" s="1"/>
  <c r="AB48" i="1" s="1"/>
  <c r="AK48" i="1"/>
  <c r="AJ48" i="1"/>
  <c r="AH48" i="1"/>
  <c r="AG48" i="1"/>
  <c r="AF48" i="1"/>
  <c r="AE48" i="1"/>
  <c r="AD48" i="1"/>
  <c r="Z48" i="1"/>
  <c r="O48" i="1"/>
  <c r="BF48" i="1" s="1"/>
  <c r="L48" i="1"/>
  <c r="AL48" i="1" s="1"/>
  <c r="BW47" i="1"/>
  <c r="BJ47" i="1"/>
  <c r="BD47" i="1"/>
  <c r="AP47" i="1"/>
  <c r="AX47" i="1" s="1"/>
  <c r="AO47" i="1"/>
  <c r="BH47" i="1" s="1"/>
  <c r="AB47" i="1" s="1"/>
  <c r="AK47" i="1"/>
  <c r="AJ47" i="1"/>
  <c r="AH47" i="1"/>
  <c r="AG47" i="1"/>
  <c r="AF47" i="1"/>
  <c r="AE47" i="1"/>
  <c r="AD47" i="1"/>
  <c r="Z47" i="1"/>
  <c r="O47" i="1"/>
  <c r="BF47" i="1" s="1"/>
  <c r="L47" i="1"/>
  <c r="AL47" i="1" s="1"/>
  <c r="BW46" i="1"/>
  <c r="BJ46" i="1"/>
  <c r="BD46" i="1"/>
  <c r="AP46" i="1"/>
  <c r="BI46" i="1" s="1"/>
  <c r="AC46" i="1" s="1"/>
  <c r="AO46" i="1"/>
  <c r="BH46" i="1" s="1"/>
  <c r="AB46" i="1" s="1"/>
  <c r="AK46" i="1"/>
  <c r="AJ46" i="1"/>
  <c r="AH46" i="1"/>
  <c r="AG46" i="1"/>
  <c r="AF46" i="1"/>
  <c r="AE46" i="1"/>
  <c r="AD46" i="1"/>
  <c r="Z46" i="1"/>
  <c r="O46" i="1"/>
  <c r="BF46" i="1" s="1"/>
  <c r="L46" i="1"/>
  <c r="AL46" i="1" s="1"/>
  <c r="J46" i="1"/>
  <c r="BW45" i="1"/>
  <c r="BJ45" i="1"/>
  <c r="BD45" i="1"/>
  <c r="AP45" i="1"/>
  <c r="AX45" i="1" s="1"/>
  <c r="AO45" i="1"/>
  <c r="J45" i="1" s="1"/>
  <c r="AK45" i="1"/>
  <c r="AJ45" i="1"/>
  <c r="AH45" i="1"/>
  <c r="AG45" i="1"/>
  <c r="AF45" i="1"/>
  <c r="AE45" i="1"/>
  <c r="AD45" i="1"/>
  <c r="Z45" i="1"/>
  <c r="O45" i="1"/>
  <c r="BF45" i="1" s="1"/>
  <c r="L45" i="1"/>
  <c r="AL45" i="1" s="1"/>
  <c r="K45" i="1"/>
  <c r="BW44" i="1"/>
  <c r="BJ44" i="1"/>
  <c r="BD44" i="1"/>
  <c r="AP44" i="1"/>
  <c r="AX44" i="1" s="1"/>
  <c r="AO44" i="1"/>
  <c r="BH44" i="1" s="1"/>
  <c r="AB44" i="1" s="1"/>
  <c r="AK44" i="1"/>
  <c r="AJ44" i="1"/>
  <c r="AH44" i="1"/>
  <c r="AG44" i="1"/>
  <c r="AF44" i="1"/>
  <c r="AE44" i="1"/>
  <c r="AD44" i="1"/>
  <c r="Z44" i="1"/>
  <c r="O44" i="1"/>
  <c r="BF44" i="1" s="1"/>
  <c r="M44" i="1"/>
  <c r="L44" i="1"/>
  <c r="AL44" i="1" s="1"/>
  <c r="K44" i="1"/>
  <c r="BW43" i="1"/>
  <c r="BJ43" i="1"/>
  <c r="BF43" i="1"/>
  <c r="BD43" i="1"/>
  <c r="AW43" i="1"/>
  <c r="AP43" i="1"/>
  <c r="BI43" i="1" s="1"/>
  <c r="AC43" i="1" s="1"/>
  <c r="AO43" i="1"/>
  <c r="BH43" i="1" s="1"/>
  <c r="AB43" i="1" s="1"/>
  <c r="AK43" i="1"/>
  <c r="AJ43" i="1"/>
  <c r="AH43" i="1"/>
  <c r="AG43" i="1"/>
  <c r="AF43" i="1"/>
  <c r="AE43" i="1"/>
  <c r="AD43" i="1"/>
  <c r="Z43" i="1"/>
  <c r="O43" i="1"/>
  <c r="L43" i="1"/>
  <c r="AL43" i="1" s="1"/>
  <c r="J43" i="1"/>
  <c r="BW41" i="1"/>
  <c r="BJ41" i="1"/>
  <c r="BD41" i="1"/>
  <c r="AP41" i="1"/>
  <c r="AX41" i="1" s="1"/>
  <c r="AO41" i="1"/>
  <c r="AW41" i="1" s="1"/>
  <c r="AK41" i="1"/>
  <c r="AJ41" i="1"/>
  <c r="AH41" i="1"/>
  <c r="AG41" i="1"/>
  <c r="AF41" i="1"/>
  <c r="AE41" i="1"/>
  <c r="AD41" i="1"/>
  <c r="Z41" i="1"/>
  <c r="O41" i="1"/>
  <c r="BF41" i="1" s="1"/>
  <c r="L41" i="1"/>
  <c r="AL41" i="1" s="1"/>
  <c r="K41" i="1"/>
  <c r="J41" i="1"/>
  <c r="BW40" i="1"/>
  <c r="BJ40" i="1"/>
  <c r="BD40" i="1"/>
  <c r="AP40" i="1"/>
  <c r="AX40" i="1" s="1"/>
  <c r="AO40" i="1"/>
  <c r="BH40" i="1" s="1"/>
  <c r="AB40" i="1" s="1"/>
  <c r="AK40" i="1"/>
  <c r="AJ40" i="1"/>
  <c r="AH40" i="1"/>
  <c r="AG40" i="1"/>
  <c r="AF40" i="1"/>
  <c r="AE40" i="1"/>
  <c r="AD40" i="1"/>
  <c r="Z40" i="1"/>
  <c r="O40" i="1"/>
  <c r="BF40" i="1" s="1"/>
  <c r="L40" i="1"/>
  <c r="AL40" i="1" s="1"/>
  <c r="BW39" i="1"/>
  <c r="BJ39" i="1"/>
  <c r="BF39" i="1"/>
  <c r="BD39" i="1"/>
  <c r="AP39" i="1"/>
  <c r="BI39" i="1" s="1"/>
  <c r="AC39" i="1" s="1"/>
  <c r="AO39" i="1"/>
  <c r="BH39" i="1" s="1"/>
  <c r="AB39" i="1" s="1"/>
  <c r="AK39" i="1"/>
  <c r="AJ39" i="1"/>
  <c r="AH39" i="1"/>
  <c r="AG39" i="1"/>
  <c r="AF39" i="1"/>
  <c r="AE39" i="1"/>
  <c r="AD39" i="1"/>
  <c r="Z39" i="1"/>
  <c r="O39" i="1"/>
  <c r="L39" i="1"/>
  <c r="AL39" i="1" s="1"/>
  <c r="J39" i="1"/>
  <c r="BW38" i="1"/>
  <c r="BJ38" i="1"/>
  <c r="BD38" i="1"/>
  <c r="AP38" i="1"/>
  <c r="AX38" i="1" s="1"/>
  <c r="AO38" i="1"/>
  <c r="BH38" i="1" s="1"/>
  <c r="AB38" i="1" s="1"/>
  <c r="AK38" i="1"/>
  <c r="AJ38" i="1"/>
  <c r="AH38" i="1"/>
  <c r="AG38" i="1"/>
  <c r="AF38" i="1"/>
  <c r="AE38" i="1"/>
  <c r="AD38" i="1"/>
  <c r="Z38" i="1"/>
  <c r="O38" i="1"/>
  <c r="BF38" i="1" s="1"/>
  <c r="L38" i="1"/>
  <c r="AL38" i="1" s="1"/>
  <c r="K38" i="1"/>
  <c r="BW37" i="1"/>
  <c r="BJ37" i="1"/>
  <c r="BD37" i="1"/>
  <c r="AP37" i="1"/>
  <c r="AX37" i="1" s="1"/>
  <c r="AO37" i="1"/>
  <c r="BH37" i="1" s="1"/>
  <c r="AB37" i="1" s="1"/>
  <c r="AK37" i="1"/>
  <c r="AJ37" i="1"/>
  <c r="AH37" i="1"/>
  <c r="AG37" i="1"/>
  <c r="AF37" i="1"/>
  <c r="AE37" i="1"/>
  <c r="AD37" i="1"/>
  <c r="Z37" i="1"/>
  <c r="O37" i="1"/>
  <c r="BF37" i="1" s="1"/>
  <c r="L37" i="1"/>
  <c r="AL37" i="1" s="1"/>
  <c r="BW35" i="1"/>
  <c r="BJ35" i="1"/>
  <c r="BD35" i="1"/>
  <c r="AP35" i="1"/>
  <c r="BI35" i="1" s="1"/>
  <c r="AC35" i="1" s="1"/>
  <c r="AO35" i="1"/>
  <c r="BH35" i="1" s="1"/>
  <c r="AB35" i="1" s="1"/>
  <c r="AK35" i="1"/>
  <c r="AJ35" i="1"/>
  <c r="AH35" i="1"/>
  <c r="AG35" i="1"/>
  <c r="AF35" i="1"/>
  <c r="AE35" i="1"/>
  <c r="AD35" i="1"/>
  <c r="Z35" i="1"/>
  <c r="O35" i="1"/>
  <c r="BF35" i="1" s="1"/>
  <c r="L35" i="1"/>
  <c r="AL35" i="1" s="1"/>
  <c r="J35" i="1"/>
  <c r="BW33" i="1"/>
  <c r="BJ33" i="1"/>
  <c r="BF33" i="1"/>
  <c r="BD33" i="1"/>
  <c r="AP33" i="1"/>
  <c r="AX33" i="1" s="1"/>
  <c r="AO33" i="1"/>
  <c r="AW33" i="1" s="1"/>
  <c r="AK33" i="1"/>
  <c r="AJ33" i="1"/>
  <c r="AH33" i="1"/>
  <c r="AG33" i="1"/>
  <c r="AF33" i="1"/>
  <c r="AE33" i="1"/>
  <c r="AD33" i="1"/>
  <c r="Z33" i="1"/>
  <c r="O33" i="1"/>
  <c r="L33" i="1"/>
  <c r="AL33" i="1" s="1"/>
  <c r="K33" i="1"/>
  <c r="BW32" i="1"/>
  <c r="BJ32" i="1"/>
  <c r="BD32" i="1"/>
  <c r="AP32" i="1"/>
  <c r="AX32" i="1" s="1"/>
  <c r="AO32" i="1"/>
  <c r="BH32" i="1" s="1"/>
  <c r="AB32" i="1" s="1"/>
  <c r="AK32" i="1"/>
  <c r="AJ32" i="1"/>
  <c r="AH32" i="1"/>
  <c r="AG32" i="1"/>
  <c r="AF32" i="1"/>
  <c r="AE32" i="1"/>
  <c r="AD32" i="1"/>
  <c r="Z32" i="1"/>
  <c r="O32" i="1"/>
  <c r="BF32" i="1" s="1"/>
  <c r="L32" i="1"/>
  <c r="AL32" i="1" s="1"/>
  <c r="BW31" i="1"/>
  <c r="BJ31" i="1"/>
  <c r="BD31" i="1"/>
  <c r="AP31" i="1"/>
  <c r="BI31" i="1" s="1"/>
  <c r="AC31" i="1" s="1"/>
  <c r="AO31" i="1"/>
  <c r="BH31" i="1" s="1"/>
  <c r="AB31" i="1" s="1"/>
  <c r="AK31" i="1"/>
  <c r="AJ31" i="1"/>
  <c r="AH31" i="1"/>
  <c r="AG31" i="1"/>
  <c r="AF31" i="1"/>
  <c r="AE31" i="1"/>
  <c r="AD31" i="1"/>
  <c r="Z31" i="1"/>
  <c r="O31" i="1"/>
  <c r="BF31" i="1" s="1"/>
  <c r="L31" i="1"/>
  <c r="AL31" i="1" s="1"/>
  <c r="BW30" i="1"/>
  <c r="BJ30" i="1"/>
  <c r="BD30" i="1"/>
  <c r="AP30" i="1"/>
  <c r="AX30" i="1" s="1"/>
  <c r="AO30" i="1"/>
  <c r="BH30" i="1" s="1"/>
  <c r="AB30" i="1" s="1"/>
  <c r="AK30" i="1"/>
  <c r="AJ30" i="1"/>
  <c r="AH30" i="1"/>
  <c r="AG30" i="1"/>
  <c r="AF30" i="1"/>
  <c r="AE30" i="1"/>
  <c r="AD30" i="1"/>
  <c r="Z30" i="1"/>
  <c r="O30" i="1"/>
  <c r="BF30" i="1" s="1"/>
  <c r="M30" i="1"/>
  <c r="L30" i="1"/>
  <c r="AL30" i="1" s="1"/>
  <c r="J30" i="1"/>
  <c r="BW29" i="1"/>
  <c r="BJ29" i="1"/>
  <c r="BD29" i="1"/>
  <c r="AP29" i="1"/>
  <c r="AX29" i="1" s="1"/>
  <c r="AO29" i="1"/>
  <c r="BH29" i="1" s="1"/>
  <c r="AB29" i="1" s="1"/>
  <c r="AK29" i="1"/>
  <c r="AJ29" i="1"/>
  <c r="AH29" i="1"/>
  <c r="AG29" i="1"/>
  <c r="AF29" i="1"/>
  <c r="AE29" i="1"/>
  <c r="AD29" i="1"/>
  <c r="Z29" i="1"/>
  <c r="O29" i="1"/>
  <c r="BF29" i="1" s="1"/>
  <c r="L29" i="1"/>
  <c r="AL29" i="1" s="1"/>
  <c r="K29" i="1"/>
  <c r="BW28" i="1"/>
  <c r="BJ28" i="1"/>
  <c r="BD28" i="1"/>
  <c r="AP28" i="1"/>
  <c r="BI28" i="1" s="1"/>
  <c r="AC28" i="1" s="1"/>
  <c r="AO28" i="1"/>
  <c r="AW28" i="1" s="1"/>
  <c r="AK28" i="1"/>
  <c r="AJ28" i="1"/>
  <c r="AH28" i="1"/>
  <c r="AG28" i="1"/>
  <c r="AF28" i="1"/>
  <c r="AE28" i="1"/>
  <c r="AD28" i="1"/>
  <c r="Z28" i="1"/>
  <c r="O28" i="1"/>
  <c r="BF28" i="1" s="1"/>
  <c r="L28" i="1"/>
  <c r="AL28" i="1" s="1"/>
  <c r="BW27" i="1"/>
  <c r="BJ27" i="1"/>
  <c r="BD27" i="1"/>
  <c r="AP27" i="1"/>
  <c r="AX27" i="1" s="1"/>
  <c r="AO27" i="1"/>
  <c r="BH27" i="1" s="1"/>
  <c r="AB27" i="1" s="1"/>
  <c r="AK27" i="1"/>
  <c r="AJ27" i="1"/>
  <c r="AH27" i="1"/>
  <c r="AG27" i="1"/>
  <c r="AF27" i="1"/>
  <c r="AE27" i="1"/>
  <c r="AD27" i="1"/>
  <c r="Z27" i="1"/>
  <c r="O27" i="1"/>
  <c r="BF27" i="1" s="1"/>
  <c r="L27" i="1"/>
  <c r="AL27" i="1" s="1"/>
  <c r="K27" i="1"/>
  <c r="J27" i="1"/>
  <c r="BW25" i="1"/>
  <c r="BJ25" i="1"/>
  <c r="BD25" i="1"/>
  <c r="AP25" i="1"/>
  <c r="AX25" i="1" s="1"/>
  <c r="AO25" i="1"/>
  <c r="BH25" i="1" s="1"/>
  <c r="AB25" i="1" s="1"/>
  <c r="AK25" i="1"/>
  <c r="AJ25" i="1"/>
  <c r="AH25" i="1"/>
  <c r="AG25" i="1"/>
  <c r="AF25" i="1"/>
  <c r="AE25" i="1"/>
  <c r="AD25" i="1"/>
  <c r="Z25" i="1"/>
  <c r="O25" i="1"/>
  <c r="BF25" i="1" s="1"/>
  <c r="L25" i="1"/>
  <c r="AL25" i="1" s="1"/>
  <c r="K25" i="1"/>
  <c r="BW23" i="1"/>
  <c r="BJ23" i="1"/>
  <c r="BD23" i="1"/>
  <c r="AP23" i="1"/>
  <c r="BI23" i="1" s="1"/>
  <c r="AC23" i="1" s="1"/>
  <c r="AO23" i="1"/>
  <c r="BH23" i="1" s="1"/>
  <c r="AB23" i="1" s="1"/>
  <c r="AK23" i="1"/>
  <c r="AJ23" i="1"/>
  <c r="AH23" i="1"/>
  <c r="AG23" i="1"/>
  <c r="AF23" i="1"/>
  <c r="AE23" i="1"/>
  <c r="AD23" i="1"/>
  <c r="Z23" i="1"/>
  <c r="O23" i="1"/>
  <c r="BF23" i="1" s="1"/>
  <c r="L23" i="1"/>
  <c r="AL23" i="1" s="1"/>
  <c r="J23" i="1"/>
  <c r="BW22" i="1"/>
  <c r="BJ22" i="1"/>
  <c r="BD22" i="1"/>
  <c r="AP22" i="1"/>
  <c r="AX22" i="1" s="1"/>
  <c r="AO22" i="1"/>
  <c r="AW22" i="1" s="1"/>
  <c r="AK22" i="1"/>
  <c r="AJ22" i="1"/>
  <c r="AH22" i="1"/>
  <c r="AG22" i="1"/>
  <c r="AF22" i="1"/>
  <c r="AE22" i="1"/>
  <c r="AD22" i="1"/>
  <c r="Z22" i="1"/>
  <c r="O22" i="1"/>
  <c r="BF22" i="1" s="1"/>
  <c r="L22" i="1"/>
  <c r="AL22" i="1" s="1"/>
  <c r="K22" i="1"/>
  <c r="BW21" i="1"/>
  <c r="BJ21" i="1"/>
  <c r="BD21" i="1"/>
  <c r="AP21" i="1"/>
  <c r="AX21" i="1" s="1"/>
  <c r="AO21" i="1"/>
  <c r="BH21" i="1" s="1"/>
  <c r="AB21" i="1" s="1"/>
  <c r="AK21" i="1"/>
  <c r="AJ21" i="1"/>
  <c r="AH21" i="1"/>
  <c r="AG21" i="1"/>
  <c r="AF21" i="1"/>
  <c r="AE21" i="1"/>
  <c r="AD21" i="1"/>
  <c r="Z21" i="1"/>
  <c r="O21" i="1"/>
  <c r="BF21" i="1" s="1"/>
  <c r="L21" i="1"/>
  <c r="AL21" i="1" s="1"/>
  <c r="BW20" i="1"/>
  <c r="BJ20" i="1"/>
  <c r="BD20" i="1"/>
  <c r="AP20" i="1"/>
  <c r="BI20" i="1" s="1"/>
  <c r="AC20" i="1" s="1"/>
  <c r="AO20" i="1"/>
  <c r="BH20" i="1" s="1"/>
  <c r="AB20" i="1" s="1"/>
  <c r="AK20" i="1"/>
  <c r="AJ20" i="1"/>
  <c r="AH20" i="1"/>
  <c r="AG20" i="1"/>
  <c r="AF20" i="1"/>
  <c r="AE20" i="1"/>
  <c r="AD20" i="1"/>
  <c r="Z20" i="1"/>
  <c r="O20" i="1"/>
  <c r="BF20" i="1" s="1"/>
  <c r="L20" i="1"/>
  <c r="AL20" i="1" s="1"/>
  <c r="J20" i="1"/>
  <c r="BW18" i="1"/>
  <c r="BJ18" i="1"/>
  <c r="BD18" i="1"/>
  <c r="AP18" i="1"/>
  <c r="AX18" i="1" s="1"/>
  <c r="AO18" i="1"/>
  <c r="AW18" i="1" s="1"/>
  <c r="AK18" i="1"/>
  <c r="AJ18" i="1"/>
  <c r="AH18" i="1"/>
  <c r="AG18" i="1"/>
  <c r="AF18" i="1"/>
  <c r="AE18" i="1"/>
  <c r="AD18" i="1"/>
  <c r="Z18" i="1"/>
  <c r="O18" i="1"/>
  <c r="L18" i="1"/>
  <c r="AL18" i="1" s="1"/>
  <c r="K18" i="1"/>
  <c r="BW16" i="1"/>
  <c r="BJ16" i="1"/>
  <c r="BD16" i="1"/>
  <c r="AP16" i="1"/>
  <c r="AX16" i="1" s="1"/>
  <c r="AO16" i="1"/>
  <c r="BH16" i="1" s="1"/>
  <c r="AB16" i="1" s="1"/>
  <c r="AK16" i="1"/>
  <c r="AJ16" i="1"/>
  <c r="AH16" i="1"/>
  <c r="AG16" i="1"/>
  <c r="AF16" i="1"/>
  <c r="AE16" i="1"/>
  <c r="AD16" i="1"/>
  <c r="Z16" i="1"/>
  <c r="O16" i="1"/>
  <c r="BF16" i="1" s="1"/>
  <c r="L16" i="1"/>
  <c r="AL16" i="1" s="1"/>
  <c r="K16" i="1"/>
  <c r="J16" i="1"/>
  <c r="BW15" i="1"/>
  <c r="M15" i="1" s="1"/>
  <c r="BJ15" i="1"/>
  <c r="BD15" i="1"/>
  <c r="AP15" i="1"/>
  <c r="AX15" i="1" s="1"/>
  <c r="AO15" i="1"/>
  <c r="BH15" i="1" s="1"/>
  <c r="AB15" i="1" s="1"/>
  <c r="AK15" i="1"/>
  <c r="AJ15" i="1"/>
  <c r="AH15" i="1"/>
  <c r="AG15" i="1"/>
  <c r="AF15" i="1"/>
  <c r="AE15" i="1"/>
  <c r="AD15" i="1"/>
  <c r="Z15" i="1"/>
  <c r="O15" i="1"/>
  <c r="BF15" i="1" s="1"/>
  <c r="L15" i="1"/>
  <c r="AL15" i="1" s="1"/>
  <c r="BW14" i="1"/>
  <c r="BJ14" i="1"/>
  <c r="BD14" i="1"/>
  <c r="AP14" i="1"/>
  <c r="BI14" i="1" s="1"/>
  <c r="AC14" i="1" s="1"/>
  <c r="AO14" i="1"/>
  <c r="BH14" i="1" s="1"/>
  <c r="AB14" i="1" s="1"/>
  <c r="AK14" i="1"/>
  <c r="AJ14" i="1"/>
  <c r="AH14" i="1"/>
  <c r="AG14" i="1"/>
  <c r="AF14" i="1"/>
  <c r="AE14" i="1"/>
  <c r="AD14" i="1"/>
  <c r="Z14" i="1"/>
  <c r="O14" i="1"/>
  <c r="BF14" i="1" s="1"/>
  <c r="L14" i="1"/>
  <c r="AL14" i="1" s="1"/>
  <c r="O13" i="1"/>
  <c r="G12" i="3" s="1"/>
  <c r="AU1" i="1"/>
  <c r="AT1" i="1"/>
  <c r="AS1" i="1"/>
  <c r="BI159" i="1" l="1"/>
  <c r="AE159" i="1" s="1"/>
  <c r="M19" i="2"/>
  <c r="M34" i="2"/>
  <c r="M140" i="2"/>
  <c r="M181" i="2"/>
  <c r="M185" i="2"/>
  <c r="M194" i="2"/>
  <c r="J67" i="1"/>
  <c r="M77" i="1"/>
  <c r="O109" i="1"/>
  <c r="G18" i="3" s="1"/>
  <c r="J156" i="1"/>
  <c r="M211" i="1"/>
  <c r="J27" i="2"/>
  <c r="F14" i="4"/>
  <c r="F22" i="4" s="1"/>
  <c r="I27" i="5"/>
  <c r="M37" i="1"/>
  <c r="M98" i="1"/>
  <c r="J141" i="1"/>
  <c r="M27" i="2"/>
  <c r="IS64" i="2"/>
  <c r="J64" i="2" s="1"/>
  <c r="M218" i="2"/>
  <c r="M239" i="2"/>
  <c r="I14" i="4"/>
  <c r="J57" i="1"/>
  <c r="BH156" i="1"/>
  <c r="AD156" i="1" s="1"/>
  <c r="BF209" i="1"/>
  <c r="M100" i="2"/>
  <c r="M141" i="2"/>
  <c r="M146" i="2"/>
  <c r="M151" i="2"/>
  <c r="M155" i="2"/>
  <c r="M167" i="2"/>
  <c r="M171" i="2"/>
  <c r="M177" i="2"/>
  <c r="M186" i="2"/>
  <c r="M191" i="2"/>
  <c r="M232" i="2"/>
  <c r="J28" i="1"/>
  <c r="J22" i="1"/>
  <c r="BI33" i="1"/>
  <c r="AC33" i="1" s="1"/>
  <c r="K185" i="1"/>
  <c r="O17" i="1"/>
  <c r="G13" i="3" s="1"/>
  <c r="BF18" i="1"/>
  <c r="K53" i="1"/>
  <c r="J60" i="1"/>
  <c r="O128" i="1"/>
  <c r="G21" i="3" s="1"/>
  <c r="BI181" i="1"/>
  <c r="AE181" i="1" s="1"/>
  <c r="BH220" i="1"/>
  <c r="AD220" i="1" s="1"/>
  <c r="J230" i="1"/>
  <c r="J229" i="1" s="1"/>
  <c r="D31" i="3" s="1"/>
  <c r="M39" i="2"/>
  <c r="M69" i="2"/>
  <c r="M78" i="2"/>
  <c r="M82" i="2"/>
  <c r="J101" i="2"/>
  <c r="M107" i="2"/>
  <c r="M136" i="2"/>
  <c r="M135" i="2" s="1"/>
  <c r="M241" i="2"/>
  <c r="M240" i="2" s="1"/>
  <c r="O118" i="1"/>
  <c r="G19" i="3" s="1"/>
  <c r="M17" i="2"/>
  <c r="M70" i="2"/>
  <c r="M83" i="2"/>
  <c r="M87" i="2"/>
  <c r="M179" i="2"/>
  <c r="M183" i="2"/>
  <c r="M192" i="2"/>
  <c r="J38" i="1"/>
  <c r="O59" i="1"/>
  <c r="G14" i="3" s="1"/>
  <c r="BI85" i="1"/>
  <c r="AC85" i="1" s="1"/>
  <c r="K117" i="1"/>
  <c r="AX125" i="1"/>
  <c r="AX134" i="1"/>
  <c r="AX210" i="1"/>
  <c r="K47" i="1"/>
  <c r="AT92" i="1"/>
  <c r="BC135" i="1"/>
  <c r="J226" i="1"/>
  <c r="M13" i="2"/>
  <c r="M18" i="2"/>
  <c r="M16" i="2" s="1"/>
  <c r="J40" i="2"/>
  <c r="J52" i="2"/>
  <c r="J103" i="2"/>
  <c r="M139" i="2"/>
  <c r="M143" i="2"/>
  <c r="M148" i="2"/>
  <c r="M153" i="2"/>
  <c r="M164" i="2"/>
  <c r="M169" i="2"/>
  <c r="M174" i="2"/>
  <c r="M184" i="2"/>
  <c r="M188" i="2"/>
  <c r="J211" i="2"/>
  <c r="J215" i="2"/>
  <c r="J58" i="1"/>
  <c r="M40" i="2"/>
  <c r="M52" i="2"/>
  <c r="M57" i="2"/>
  <c r="J33" i="1"/>
  <c r="M47" i="1"/>
  <c r="K77" i="1"/>
  <c r="O100" i="1"/>
  <c r="G17" i="3" s="1"/>
  <c r="O131" i="1"/>
  <c r="G22" i="3" s="1"/>
  <c r="M135" i="1"/>
  <c r="AX180" i="1"/>
  <c r="J34" i="2"/>
  <c r="M41" i="2"/>
  <c r="M67" i="2"/>
  <c r="M71" i="2"/>
  <c r="M80" i="2"/>
  <c r="M98" i="2"/>
  <c r="M132" i="2"/>
  <c r="M237" i="2"/>
  <c r="AW230" i="1"/>
  <c r="AW228" i="1"/>
  <c r="IS225" i="2"/>
  <c r="AX217" i="1"/>
  <c r="AV217" i="1" s="1"/>
  <c r="K218" i="1"/>
  <c r="M208" i="1"/>
  <c r="AV208" i="1"/>
  <c r="AX206" i="1"/>
  <c r="IS204" i="2"/>
  <c r="J204" i="2" s="1"/>
  <c r="J201" i="1"/>
  <c r="BI197" i="1"/>
  <c r="AE197" i="1" s="1"/>
  <c r="AX192" i="1"/>
  <c r="AX190" i="1"/>
  <c r="IS194" i="2"/>
  <c r="J194" i="2" s="1"/>
  <c r="IS192" i="2"/>
  <c r="J192" i="2" s="1"/>
  <c r="AX187" i="1"/>
  <c r="AX182" i="1"/>
  <c r="BI183" i="1"/>
  <c r="AE183" i="1" s="1"/>
  <c r="J178" i="1"/>
  <c r="AX178" i="1"/>
  <c r="BC176" i="1"/>
  <c r="J173" i="1"/>
  <c r="BI164" i="1"/>
  <c r="AE164" i="1" s="1"/>
  <c r="BH162" i="1"/>
  <c r="AD162" i="1" s="1"/>
  <c r="AX162" i="1"/>
  <c r="BC162" i="1" s="1"/>
  <c r="K159" i="1"/>
  <c r="BI152" i="1"/>
  <c r="AE152" i="1" s="1"/>
  <c r="AX152" i="1"/>
  <c r="J147" i="1"/>
  <c r="AL135" i="1"/>
  <c r="J132" i="1"/>
  <c r="M129" i="1"/>
  <c r="M128" i="1" s="1"/>
  <c r="AS118" i="1"/>
  <c r="J112" i="1"/>
  <c r="AW96" i="1"/>
  <c r="AS92" i="1"/>
  <c r="M91" i="1"/>
  <c r="M90" i="1" s="1"/>
  <c r="L90" i="1"/>
  <c r="F15" i="3" s="1"/>
  <c r="I15" i="3" s="1"/>
  <c r="M85" i="1"/>
  <c r="M71" i="1"/>
  <c r="M62" i="1"/>
  <c r="J62" i="1"/>
  <c r="BH62" i="1"/>
  <c r="AB62" i="1" s="1"/>
  <c r="M61" i="1"/>
  <c r="AW57" i="1"/>
  <c r="M54" i="1"/>
  <c r="J48" i="1"/>
  <c r="AW46" i="1"/>
  <c r="M40" i="1"/>
  <c r="AW38" i="1"/>
  <c r="IS47" i="2"/>
  <c r="K47" i="2" s="1"/>
  <c r="K32" i="1"/>
  <c r="IS29" i="2"/>
  <c r="M25" i="1"/>
  <c r="M16" i="1"/>
  <c r="J14" i="1"/>
  <c r="BH228" i="1"/>
  <c r="M224" i="1"/>
  <c r="AX224" i="1"/>
  <c r="AV224" i="1" s="1"/>
  <c r="AS219" i="1"/>
  <c r="IS229" i="2"/>
  <c r="AT219" i="1"/>
  <c r="AT214" i="1"/>
  <c r="BH216" i="1"/>
  <c r="AD216" i="1" s="1"/>
  <c r="BI213" i="1"/>
  <c r="AX213" i="1"/>
  <c r="AX212" i="1"/>
  <c r="AV212" i="1" s="1"/>
  <c r="BH208" i="1"/>
  <c r="AD208" i="1" s="1"/>
  <c r="AT207" i="1"/>
  <c r="IS206" i="2"/>
  <c r="J206" i="2" s="1"/>
  <c r="AS198" i="1"/>
  <c r="AX200" i="1"/>
  <c r="AV200" i="1" s="1"/>
  <c r="BH188" i="1"/>
  <c r="AD188" i="1" s="1"/>
  <c r="J186" i="1"/>
  <c r="BH185" i="1"/>
  <c r="AD185" i="1" s="1"/>
  <c r="IS190" i="2"/>
  <c r="J190" i="2" s="1"/>
  <c r="J182" i="1"/>
  <c r="BH182" i="1"/>
  <c r="AD182" i="1" s="1"/>
  <c r="K181" i="1"/>
  <c r="IS183" i="2"/>
  <c r="J183" i="2" s="1"/>
  <c r="BI172" i="1"/>
  <c r="AE172" i="1" s="1"/>
  <c r="AX171" i="1"/>
  <c r="AX169" i="1"/>
  <c r="BC169" i="1" s="1"/>
  <c r="IS176" i="2"/>
  <c r="AX166" i="1"/>
  <c r="BC166" i="1" s="1"/>
  <c r="K166" i="1"/>
  <c r="AX163" i="1"/>
  <c r="AV163" i="1" s="1"/>
  <c r="AV159" i="1"/>
  <c r="AX158" i="1"/>
  <c r="AV158" i="1" s="1"/>
  <c r="AX156" i="1"/>
  <c r="BC156" i="1" s="1"/>
  <c r="BI155" i="1"/>
  <c r="AE155" i="1" s="1"/>
  <c r="BI154" i="1"/>
  <c r="AE154" i="1" s="1"/>
  <c r="J153" i="1"/>
  <c r="AV153" i="1"/>
  <c r="AX150" i="1"/>
  <c r="J145" i="1"/>
  <c r="J143" i="1"/>
  <c r="AX138" i="1"/>
  <c r="AV138" i="1" s="1"/>
  <c r="BH134" i="1"/>
  <c r="AD134" i="1" s="1"/>
  <c r="J133" i="1"/>
  <c r="L128" i="1"/>
  <c r="F21" i="3" s="1"/>
  <c r="I21" i="3" s="1"/>
  <c r="AW125" i="1"/>
  <c r="BC125" i="1" s="1"/>
  <c r="J121" i="1"/>
  <c r="BH119" i="1"/>
  <c r="AB119" i="1" s="1"/>
  <c r="BI117" i="1"/>
  <c r="IS124" i="2"/>
  <c r="J124" i="2" s="1"/>
  <c r="AS109" i="1"/>
  <c r="IS121" i="2"/>
  <c r="J121" i="2" s="1"/>
  <c r="IS118" i="2"/>
  <c r="J118" i="2" s="1"/>
  <c r="M110" i="1"/>
  <c r="AW110" i="1"/>
  <c r="AX108" i="1"/>
  <c r="K108" i="1"/>
  <c r="J106" i="1"/>
  <c r="M101" i="1"/>
  <c r="AW101" i="1"/>
  <c r="AV101" i="1" s="1"/>
  <c r="K99" i="1"/>
  <c r="BI99" i="1"/>
  <c r="IR99" i="2"/>
  <c r="AW95" i="1"/>
  <c r="BC95" i="1" s="1"/>
  <c r="IS97" i="2"/>
  <c r="J97" i="2" s="1"/>
  <c r="M88" i="1"/>
  <c r="K85" i="1"/>
  <c r="K83" i="1"/>
  <c r="M83" i="1"/>
  <c r="AW81" i="1"/>
  <c r="M79" i="1"/>
  <c r="AX75" i="1"/>
  <c r="M67" i="1"/>
  <c r="BH67" i="1"/>
  <c r="AB67" i="1" s="1"/>
  <c r="AW63" i="1"/>
  <c r="K62" i="1"/>
  <c r="BI61" i="1"/>
  <c r="AC61" i="1" s="1"/>
  <c r="AW60" i="1"/>
  <c r="AV60" i="1" s="1"/>
  <c r="AS59" i="1"/>
  <c r="AX58" i="1"/>
  <c r="K57" i="1"/>
  <c r="BI54" i="1"/>
  <c r="K54" i="1"/>
  <c r="J54" i="1"/>
  <c r="K51" i="1"/>
  <c r="K50" i="1"/>
  <c r="AW49" i="1"/>
  <c r="AW45" i="1"/>
  <c r="IS62" i="2"/>
  <c r="J62" i="2" s="1"/>
  <c r="M45" i="1"/>
  <c r="BH45" i="1"/>
  <c r="AB45" i="1" s="1"/>
  <c r="BH41" i="1"/>
  <c r="AB41" i="1" s="1"/>
  <c r="K40" i="1"/>
  <c r="AS17" i="1"/>
  <c r="K37" i="1"/>
  <c r="IR50" i="2"/>
  <c r="IR46" i="2"/>
  <c r="M32" i="1"/>
  <c r="J31" i="1"/>
  <c r="BI29" i="1"/>
  <c r="AC29" i="1" s="1"/>
  <c r="IS36" i="2"/>
  <c r="IR27" i="2"/>
  <c r="IS25" i="2"/>
  <c r="K21" i="1"/>
  <c r="M21" i="1"/>
  <c r="BI18" i="1"/>
  <c r="AC18" i="1" s="1"/>
  <c r="AW14" i="1"/>
  <c r="AS13" i="1"/>
  <c r="AX14" i="1"/>
  <c r="I18" i="9"/>
  <c r="F14" i="8"/>
  <c r="BC226" i="1"/>
  <c r="M226" i="1"/>
  <c r="BH226" i="1"/>
  <c r="AD226" i="1" s="1"/>
  <c r="BC224" i="1"/>
  <c r="BH224" i="1"/>
  <c r="AD224" i="1" s="1"/>
  <c r="IS235" i="2"/>
  <c r="J235" i="2" s="1"/>
  <c r="BI223" i="1"/>
  <c r="AE223" i="1" s="1"/>
  <c r="BC223" i="1"/>
  <c r="BH222" i="1"/>
  <c r="AD222" i="1" s="1"/>
  <c r="M222" i="1"/>
  <c r="AX220" i="1"/>
  <c r="L219" i="1"/>
  <c r="F30" i="3" s="1"/>
  <c r="I30" i="3" s="1"/>
  <c r="AW220" i="1"/>
  <c r="IS223" i="2"/>
  <c r="M220" i="1"/>
  <c r="BI220" i="1"/>
  <c r="AE220" i="1" s="1"/>
  <c r="M218" i="1"/>
  <c r="BC217" i="1"/>
  <c r="AS214" i="1"/>
  <c r="M216" i="1"/>
  <c r="J216" i="1"/>
  <c r="L214" i="1"/>
  <c r="F29" i="3" s="1"/>
  <c r="I29" i="3" s="1"/>
  <c r="AW215" i="1"/>
  <c r="AV215" i="1" s="1"/>
  <c r="M215" i="1"/>
  <c r="BI215" i="1"/>
  <c r="AE215" i="1" s="1"/>
  <c r="BH215" i="1"/>
  <c r="AD215" i="1" s="1"/>
  <c r="M213" i="1"/>
  <c r="L207" i="1"/>
  <c r="F28" i="3" s="1"/>
  <c r="I28" i="3" s="1"/>
  <c r="BH211" i="1"/>
  <c r="AD211" i="1" s="1"/>
  <c r="M210" i="1"/>
  <c r="BH210" i="1"/>
  <c r="AD210" i="1" s="1"/>
  <c r="AW210" i="1"/>
  <c r="BI209" i="1"/>
  <c r="AE209" i="1" s="1"/>
  <c r="J208" i="1"/>
  <c r="BC208" i="1"/>
  <c r="BH206" i="1"/>
  <c r="J204" i="1"/>
  <c r="BI204" i="1"/>
  <c r="AE204" i="1" s="1"/>
  <c r="BH204" i="1"/>
  <c r="AD204" i="1" s="1"/>
  <c r="BC204" i="1"/>
  <c r="AX202" i="1"/>
  <c r="AX201" i="1"/>
  <c r="AV201" i="1" s="1"/>
  <c r="BH201" i="1"/>
  <c r="AD201" i="1" s="1"/>
  <c r="J200" i="1"/>
  <c r="BH200" i="1"/>
  <c r="AD200" i="1" s="1"/>
  <c r="L198" i="1"/>
  <c r="F27" i="3" s="1"/>
  <c r="I27" i="3" s="1"/>
  <c r="K200" i="1"/>
  <c r="BC200" i="1"/>
  <c r="BI199" i="1"/>
  <c r="AE199" i="1" s="1"/>
  <c r="AT198" i="1"/>
  <c r="AX195" i="1"/>
  <c r="BH190" i="1"/>
  <c r="AD190" i="1" s="1"/>
  <c r="J188" i="1"/>
  <c r="BI188" i="1"/>
  <c r="AE188" i="1" s="1"/>
  <c r="AX188" i="1"/>
  <c r="BC188" i="1" s="1"/>
  <c r="BH186" i="1"/>
  <c r="AD186" i="1" s="1"/>
  <c r="AX186" i="1"/>
  <c r="BC186" i="1" s="1"/>
  <c r="AX185" i="1"/>
  <c r="BC185" i="1" s="1"/>
  <c r="AV181" i="1"/>
  <c r="BC181" i="1"/>
  <c r="BH181" i="1"/>
  <c r="AD181" i="1" s="1"/>
  <c r="BH178" i="1"/>
  <c r="AD178" i="1" s="1"/>
  <c r="AS167" i="1"/>
  <c r="J176" i="1"/>
  <c r="BH176" i="1"/>
  <c r="AD176" i="1" s="1"/>
  <c r="AV176" i="1"/>
  <c r="AX175" i="1"/>
  <c r="BH173" i="1"/>
  <c r="AD173" i="1" s="1"/>
  <c r="AX173" i="1"/>
  <c r="BC173" i="1" s="1"/>
  <c r="IS181" i="2"/>
  <c r="J181" i="2" s="1"/>
  <c r="BC172" i="1"/>
  <c r="IS179" i="2"/>
  <c r="J179" i="2" s="1"/>
  <c r="J169" i="1"/>
  <c r="BH169" i="1"/>
  <c r="AD169" i="1" s="1"/>
  <c r="AV168" i="1"/>
  <c r="BC168" i="1"/>
  <c r="AT167" i="1"/>
  <c r="BI168" i="1"/>
  <c r="AE168" i="1" s="1"/>
  <c r="AX161" i="1"/>
  <c r="AV161" i="1" s="1"/>
  <c r="AX160" i="1"/>
  <c r="BC160" i="1" s="1"/>
  <c r="BH158" i="1"/>
  <c r="AD158" i="1" s="1"/>
  <c r="AS151" i="1"/>
  <c r="AT151" i="1"/>
  <c r="AV155" i="1"/>
  <c r="BH155" i="1"/>
  <c r="AD155" i="1" s="1"/>
  <c r="J155" i="1"/>
  <c r="AV154" i="1"/>
  <c r="BC152" i="1"/>
  <c r="K150" i="1"/>
  <c r="AV150" i="1"/>
  <c r="J150" i="1"/>
  <c r="BC150" i="1"/>
  <c r="BI148" i="1"/>
  <c r="AE148" i="1" s="1"/>
  <c r="AV147" i="1"/>
  <c r="AV146" i="1"/>
  <c r="BI146" i="1"/>
  <c r="AE146" i="1" s="1"/>
  <c r="BC146" i="1"/>
  <c r="AW145" i="1"/>
  <c r="BC143" i="1"/>
  <c r="J142" i="1"/>
  <c r="AX142" i="1"/>
  <c r="M142" i="1"/>
  <c r="K142" i="1"/>
  <c r="AW141" i="1"/>
  <c r="AV141" i="1" s="1"/>
  <c r="BI141" i="1"/>
  <c r="AE141" i="1" s="1"/>
  <c r="BH140" i="1"/>
  <c r="AD140" i="1" s="1"/>
  <c r="AW138" i="1"/>
  <c r="AV135" i="1"/>
  <c r="AT131" i="1"/>
  <c r="AX133" i="1"/>
  <c r="AW133" i="1"/>
  <c r="BC132" i="1"/>
  <c r="AS131" i="1"/>
  <c r="BC129" i="1"/>
  <c r="IS137" i="2"/>
  <c r="BH127" i="1"/>
  <c r="AT122" i="1"/>
  <c r="L122" i="1"/>
  <c r="F20" i="3" s="1"/>
  <c r="I20" i="3" s="1"/>
  <c r="IS130" i="2"/>
  <c r="J130" i="2" s="1"/>
  <c r="BH121" i="1"/>
  <c r="BH120" i="1"/>
  <c r="AB120" i="1" s="1"/>
  <c r="M120" i="1"/>
  <c r="IS127" i="2"/>
  <c r="J127" i="2" s="1"/>
  <c r="BC119" i="1"/>
  <c r="AV119" i="1"/>
  <c r="L118" i="1"/>
  <c r="F19" i="3" s="1"/>
  <c r="I19" i="3" s="1"/>
  <c r="BI119" i="1"/>
  <c r="AC119" i="1" s="1"/>
  <c r="M119" i="1"/>
  <c r="AT118" i="1"/>
  <c r="J119" i="1"/>
  <c r="IR123" i="2"/>
  <c r="BH115" i="1"/>
  <c r="AB115" i="1" s="1"/>
  <c r="M112" i="1"/>
  <c r="IR120" i="2"/>
  <c r="BH112" i="1"/>
  <c r="AB112" i="1" s="1"/>
  <c r="K110" i="1"/>
  <c r="AX110" i="1"/>
  <c r="AT109" i="1"/>
  <c r="IS114" i="2"/>
  <c r="IS117" i="2"/>
  <c r="IS110" i="2"/>
  <c r="J110" i="2" s="1"/>
  <c r="BH106" i="1"/>
  <c r="AB106" i="1" s="1"/>
  <c r="M104" i="1"/>
  <c r="L100" i="1"/>
  <c r="F17" i="3" s="1"/>
  <c r="I17" i="3" s="1"/>
  <c r="BH104" i="1"/>
  <c r="AB104" i="1" s="1"/>
  <c r="AX103" i="1"/>
  <c r="AW103" i="1"/>
  <c r="AT100" i="1"/>
  <c r="BI101" i="1"/>
  <c r="AC101" i="1" s="1"/>
  <c r="M99" i="1"/>
  <c r="BH99" i="1"/>
  <c r="IR102" i="2"/>
  <c r="K98" i="1"/>
  <c r="BI98" i="1"/>
  <c r="AC98" i="1" s="1"/>
  <c r="AX96" i="1"/>
  <c r="BC96" i="1" s="1"/>
  <c r="M95" i="1"/>
  <c r="BI95" i="1"/>
  <c r="AC95" i="1" s="1"/>
  <c r="BI93" i="1"/>
  <c r="AC93" i="1" s="1"/>
  <c r="AU92" i="1"/>
  <c r="BI91" i="1"/>
  <c r="AG91" i="1" s="1"/>
  <c r="C19" i="4" s="1"/>
  <c r="K88" i="1"/>
  <c r="BI88" i="1"/>
  <c r="AC88" i="1" s="1"/>
  <c r="AX86" i="1"/>
  <c r="AW86" i="1"/>
  <c r="AW85" i="1"/>
  <c r="AV85" i="1" s="1"/>
  <c r="BI83" i="1"/>
  <c r="AC83" i="1" s="1"/>
  <c r="AX81" i="1"/>
  <c r="IS89" i="2"/>
  <c r="K89" i="2" s="1"/>
  <c r="J79" i="1"/>
  <c r="AW79" i="1"/>
  <c r="BC79" i="1" s="1"/>
  <c r="BI79" i="1"/>
  <c r="AC79" i="1" s="1"/>
  <c r="K79" i="1"/>
  <c r="AT59" i="1"/>
  <c r="BI77" i="1"/>
  <c r="AC77" i="1" s="1"/>
  <c r="IS87" i="2"/>
  <c r="AW75" i="1"/>
  <c r="BI73" i="1"/>
  <c r="AC73" i="1" s="1"/>
  <c r="M73" i="1"/>
  <c r="BH73" i="1"/>
  <c r="AB73" i="1" s="1"/>
  <c r="K71" i="1"/>
  <c r="BI71" i="1"/>
  <c r="AC71" i="1" s="1"/>
  <c r="AW69" i="1"/>
  <c r="AX69" i="1"/>
  <c r="K67" i="1"/>
  <c r="BI67" i="1"/>
  <c r="AC67" i="1" s="1"/>
  <c r="M65" i="1"/>
  <c r="BI65" i="1"/>
  <c r="AC65" i="1" s="1"/>
  <c r="AX63" i="1"/>
  <c r="BC63" i="1" s="1"/>
  <c r="AV63" i="1"/>
  <c r="BI62" i="1"/>
  <c r="AC62" i="1" s="1"/>
  <c r="K61" i="1"/>
  <c r="IS77" i="2"/>
  <c r="J77" i="2" s="1"/>
  <c r="AX60" i="1"/>
  <c r="AW58" i="1"/>
  <c r="AV58" i="1" s="1"/>
  <c r="M57" i="1"/>
  <c r="IS74" i="2"/>
  <c r="J74" i="2" s="1"/>
  <c r="BI57" i="1"/>
  <c r="BI56" i="1"/>
  <c r="M56" i="1"/>
  <c r="AX55" i="1"/>
  <c r="AW55" i="1"/>
  <c r="IS72" i="2"/>
  <c r="J72" i="2" s="1"/>
  <c r="BH54" i="1"/>
  <c r="M53" i="1"/>
  <c r="BI53" i="1"/>
  <c r="AX52" i="1"/>
  <c r="AW52" i="1"/>
  <c r="J51" i="1"/>
  <c r="AW51" i="1"/>
  <c r="BC51" i="1" s="1"/>
  <c r="BI51" i="1"/>
  <c r="M51" i="1"/>
  <c r="BI50" i="1"/>
  <c r="AX49" i="1"/>
  <c r="K48" i="1"/>
  <c r="AW48" i="1"/>
  <c r="BC48" i="1" s="1"/>
  <c r="BI48" i="1"/>
  <c r="AC48" i="1" s="1"/>
  <c r="M48" i="1"/>
  <c r="BI47" i="1"/>
  <c r="AC47" i="1" s="1"/>
  <c r="AX46" i="1"/>
  <c r="BC46" i="1" s="1"/>
  <c r="BI45" i="1"/>
  <c r="AC45" i="1" s="1"/>
  <c r="BI44" i="1"/>
  <c r="AC44" i="1" s="1"/>
  <c r="IS58" i="2"/>
  <c r="AX43" i="1"/>
  <c r="BC43" i="1" s="1"/>
  <c r="IS60" i="2"/>
  <c r="BI41" i="1"/>
  <c r="AC41" i="1" s="1"/>
  <c r="IS55" i="2"/>
  <c r="J55" i="2" s="1"/>
  <c r="M41" i="1"/>
  <c r="BI40" i="1"/>
  <c r="AC40" i="1" s="1"/>
  <c r="AW39" i="1"/>
  <c r="IS53" i="2"/>
  <c r="K53" i="2" s="1"/>
  <c r="AX39" i="1"/>
  <c r="M38" i="1"/>
  <c r="C28" i="4"/>
  <c r="F28" i="4" s="1"/>
  <c r="BI38" i="1"/>
  <c r="AC38" i="1" s="1"/>
  <c r="BI37" i="1"/>
  <c r="AC37" i="1" s="1"/>
  <c r="AW35" i="1"/>
  <c r="AX35" i="1"/>
  <c r="M33" i="1"/>
  <c r="BH33" i="1"/>
  <c r="AB33" i="1" s="1"/>
  <c r="BI32" i="1"/>
  <c r="AC32" i="1" s="1"/>
  <c r="IS41" i="2"/>
  <c r="AX31" i="1"/>
  <c r="AW31" i="1"/>
  <c r="K30" i="1"/>
  <c r="AW30" i="1"/>
  <c r="AV30" i="1" s="1"/>
  <c r="BI30" i="1"/>
  <c r="AC30" i="1" s="1"/>
  <c r="M29" i="1"/>
  <c r="BH28" i="1"/>
  <c r="AB28" i="1" s="1"/>
  <c r="AX28" i="1"/>
  <c r="BC28" i="1" s="1"/>
  <c r="AW27" i="1"/>
  <c r="BC27" i="1" s="1"/>
  <c r="M27" i="1"/>
  <c r="BI27" i="1"/>
  <c r="AC27" i="1" s="1"/>
  <c r="IS30" i="2"/>
  <c r="BI25" i="1"/>
  <c r="AC25" i="1" s="1"/>
  <c r="AX23" i="1"/>
  <c r="AW23" i="1"/>
  <c r="IR22" i="2"/>
  <c r="IR23" i="2"/>
  <c r="IR26" i="2"/>
  <c r="IS20" i="2"/>
  <c r="J20" i="2" s="1"/>
  <c r="BI22" i="1"/>
  <c r="AC22" i="1" s="1"/>
  <c r="M22" i="1"/>
  <c r="BH22" i="1"/>
  <c r="AB22" i="1" s="1"/>
  <c r="BI21" i="1"/>
  <c r="AC21" i="1" s="1"/>
  <c r="L17" i="1"/>
  <c r="F13" i="3" s="1"/>
  <c r="I13" i="3" s="1"/>
  <c r="AX20" i="1"/>
  <c r="AW20" i="1"/>
  <c r="AV20" i="1" s="1"/>
  <c r="M18" i="1"/>
  <c r="BH18" i="1"/>
  <c r="AB18" i="1" s="1"/>
  <c r="J18" i="1"/>
  <c r="AT17" i="1"/>
  <c r="AW16" i="1"/>
  <c r="AV16" i="1" s="1"/>
  <c r="BI16" i="1"/>
  <c r="AC16" i="1" s="1"/>
  <c r="AU13" i="1"/>
  <c r="K15" i="1"/>
  <c r="BI15" i="1"/>
  <c r="AC15" i="1" s="1"/>
  <c r="IS13" i="2"/>
  <c r="J13" i="2" s="1"/>
  <c r="IS32" i="2"/>
  <c r="IS38" i="2"/>
  <c r="IS45" i="2"/>
  <c r="M66" i="2"/>
  <c r="M79" i="2"/>
  <c r="M84" i="2"/>
  <c r="IS85" i="2"/>
  <c r="M91" i="2"/>
  <c r="M101" i="2"/>
  <c r="M103" i="2"/>
  <c r="M106" i="2"/>
  <c r="M134" i="2"/>
  <c r="M161" i="2"/>
  <c r="IS197" i="2"/>
  <c r="I13" i="2"/>
  <c r="IR24" i="2"/>
  <c r="IR33" i="2"/>
  <c r="I33" i="2" s="1"/>
  <c r="IS51" i="2"/>
  <c r="M64" i="2"/>
  <c r="M65" i="2"/>
  <c r="IS70" i="2"/>
  <c r="J70" i="2" s="1"/>
  <c r="M77" i="2"/>
  <c r="IS83" i="2"/>
  <c r="M89" i="2"/>
  <c r="M97" i="2"/>
  <c r="M96" i="2" s="1"/>
  <c r="M110" i="2"/>
  <c r="M112" i="2"/>
  <c r="IS116" i="2"/>
  <c r="M130" i="2"/>
  <c r="M158" i="2"/>
  <c r="J176" i="2"/>
  <c r="M206" i="2"/>
  <c r="I22" i="4"/>
  <c r="IS15" i="2"/>
  <c r="J15" i="2" s="1"/>
  <c r="M21" i="2"/>
  <c r="M33" i="2"/>
  <c r="IR34" i="2"/>
  <c r="I34" i="2" s="1"/>
  <c r="IR39" i="2"/>
  <c r="I39" i="2" s="1"/>
  <c r="K41" i="2"/>
  <c r="M42" i="2"/>
  <c r="IR44" i="2"/>
  <c r="M47" i="2"/>
  <c r="M55" i="2"/>
  <c r="IS59" i="2"/>
  <c r="M62" i="2"/>
  <c r="M63" i="2"/>
  <c r="IS68" i="2"/>
  <c r="J68" i="2" s="1"/>
  <c r="M74" i="2"/>
  <c r="M75" i="2"/>
  <c r="IS81" i="2"/>
  <c r="J81" i="2" s="1"/>
  <c r="IS93" i="2"/>
  <c r="J93" i="2" s="1"/>
  <c r="IS95" i="2"/>
  <c r="J95" i="2" s="1"/>
  <c r="J94" i="2" s="1"/>
  <c r="M109" i="2"/>
  <c r="M127" i="2"/>
  <c r="M128" i="2"/>
  <c r="IS142" i="2"/>
  <c r="J142" i="2" s="1"/>
  <c r="M144" i="2"/>
  <c r="M138" i="2" s="1"/>
  <c r="M149" i="2"/>
  <c r="M152" i="2"/>
  <c r="M154" i="2"/>
  <c r="M176" i="2"/>
  <c r="M182" i="2"/>
  <c r="IS187" i="2"/>
  <c r="J187" i="2" s="1"/>
  <c r="M190" i="2"/>
  <c r="M195" i="2"/>
  <c r="M201" i="2"/>
  <c r="M200" i="2" s="1"/>
  <c r="M205" i="2"/>
  <c r="IS227" i="2"/>
  <c r="J227" i="2" s="1"/>
  <c r="IS231" i="2"/>
  <c r="F22" i="6"/>
  <c r="M15" i="2"/>
  <c r="M12" i="2" s="1"/>
  <c r="IS31" i="2"/>
  <c r="J42" i="2"/>
  <c r="M44" i="2"/>
  <c r="M53" i="2"/>
  <c r="M54" i="2"/>
  <c r="M61" i="2"/>
  <c r="IS66" i="2"/>
  <c r="J66" i="2" s="1"/>
  <c r="M73" i="2"/>
  <c r="IS79" i="2"/>
  <c r="J79" i="2" s="1"/>
  <c r="M90" i="2"/>
  <c r="IS91" i="2"/>
  <c r="K91" i="2" s="1"/>
  <c r="M95" i="2"/>
  <c r="M94" i="2" s="1"/>
  <c r="M105" i="2"/>
  <c r="IS106" i="2"/>
  <c r="K106" i="2" s="1"/>
  <c r="IR115" i="2"/>
  <c r="M121" i="2"/>
  <c r="M111" i="2" s="1"/>
  <c r="M124" i="2"/>
  <c r="M126" i="2"/>
  <c r="IS134" i="2"/>
  <c r="J134" i="2" s="1"/>
  <c r="IS140" i="2"/>
  <c r="J140" i="2" s="1"/>
  <c r="M142" i="2"/>
  <c r="J144" i="2"/>
  <c r="J147" i="2"/>
  <c r="J149" i="2"/>
  <c r="J152" i="2"/>
  <c r="J154" i="2"/>
  <c r="M180" i="2"/>
  <c r="IS185" i="2"/>
  <c r="J185" i="2" s="1"/>
  <c r="M187" i="2"/>
  <c r="M193" i="2"/>
  <c r="M199" i="2"/>
  <c r="M198" i="2" s="1"/>
  <c r="M203" i="2"/>
  <c r="IS208" i="2"/>
  <c r="J208" i="2" s="1"/>
  <c r="M211" i="2"/>
  <c r="M209" i="2" s="1"/>
  <c r="M213" i="2"/>
  <c r="M215" i="2"/>
  <c r="M227" i="2"/>
  <c r="IS233" i="2"/>
  <c r="IS239" i="2"/>
  <c r="J239" i="2" s="1"/>
  <c r="F22" i="8"/>
  <c r="F23" i="4" s="1"/>
  <c r="BC101" i="1"/>
  <c r="AV134" i="1"/>
  <c r="BC134" i="1"/>
  <c r="BC18" i="1"/>
  <c r="AV18" i="1"/>
  <c r="BC22" i="1"/>
  <c r="AV22" i="1"/>
  <c r="BC57" i="1"/>
  <c r="AV57" i="1"/>
  <c r="BC67" i="1"/>
  <c r="AV67" i="1"/>
  <c r="AV79" i="1"/>
  <c r="AU59" i="1"/>
  <c r="AV27" i="1"/>
  <c r="BC33" i="1"/>
  <c r="AV33" i="1"/>
  <c r="AV38" i="1"/>
  <c r="BC38" i="1"/>
  <c r="BC54" i="1"/>
  <c r="AV54" i="1"/>
  <c r="AV99" i="1"/>
  <c r="BC99" i="1"/>
  <c r="AU17" i="1"/>
  <c r="AV41" i="1"/>
  <c r="BC41" i="1"/>
  <c r="BC45" i="1"/>
  <c r="AV45" i="1"/>
  <c r="BC62" i="1"/>
  <c r="AV62" i="1"/>
  <c r="AV73" i="1"/>
  <c r="BC73" i="1"/>
  <c r="AV120" i="1"/>
  <c r="BC120" i="1"/>
  <c r="BI140" i="1"/>
  <c r="AE140" i="1" s="1"/>
  <c r="K140" i="1"/>
  <c r="BI216" i="1"/>
  <c r="AE216" i="1" s="1"/>
  <c r="K216" i="1"/>
  <c r="AX216" i="1"/>
  <c r="O219" i="1"/>
  <c r="G30" i="3" s="1"/>
  <c r="BF223" i="1"/>
  <c r="I66" i="2"/>
  <c r="K79" i="2"/>
  <c r="I79" i="2"/>
  <c r="I91" i="2"/>
  <c r="I95" i="2"/>
  <c r="I94" i="2" s="1"/>
  <c r="I134" i="2"/>
  <c r="I140" i="2"/>
  <c r="I185" i="2"/>
  <c r="I191" i="2"/>
  <c r="I239" i="2"/>
  <c r="AL106" i="1"/>
  <c r="M106" i="1"/>
  <c r="AL115" i="1"/>
  <c r="M115" i="1"/>
  <c r="M109" i="1" s="1"/>
  <c r="AL121" i="1"/>
  <c r="M121" i="1"/>
  <c r="AL141" i="1"/>
  <c r="M141" i="1"/>
  <c r="AL158" i="1"/>
  <c r="M158" i="1"/>
  <c r="AL171" i="1"/>
  <c r="M171" i="1"/>
  <c r="BC190" i="1"/>
  <c r="AV190" i="1"/>
  <c r="BH192" i="1"/>
  <c r="AD192" i="1" s="1"/>
  <c r="J192" i="1"/>
  <c r="AW192" i="1"/>
  <c r="BH199" i="1"/>
  <c r="AD199" i="1" s="1"/>
  <c r="J199" i="1"/>
  <c r="AW199" i="1"/>
  <c r="AL201" i="1"/>
  <c r="M201" i="1"/>
  <c r="BI222" i="1"/>
  <c r="AE222" i="1" s="1"/>
  <c r="K222" i="1"/>
  <c r="AX222" i="1"/>
  <c r="I15" i="2"/>
  <c r="K15" i="2"/>
  <c r="I19" i="2"/>
  <c r="AL117" i="1"/>
  <c r="J160" i="1"/>
  <c r="K14" i="1"/>
  <c r="K20" i="1"/>
  <c r="K23" i="1"/>
  <c r="K28" i="1"/>
  <c r="K31" i="1"/>
  <c r="K35" i="1"/>
  <c r="K39" i="1"/>
  <c r="K43" i="1"/>
  <c r="K46" i="1"/>
  <c r="K49" i="1"/>
  <c r="K52" i="1"/>
  <c r="K55" i="1"/>
  <c r="K58" i="1"/>
  <c r="K60" i="1"/>
  <c r="K63" i="1"/>
  <c r="K69" i="1"/>
  <c r="K75" i="1"/>
  <c r="K81" i="1"/>
  <c r="K86" i="1"/>
  <c r="K96" i="1"/>
  <c r="K103" i="1"/>
  <c r="BF104" i="1"/>
  <c r="BF112" i="1"/>
  <c r="BF120" i="1"/>
  <c r="J123" i="1"/>
  <c r="J125" i="1"/>
  <c r="AV132" i="1"/>
  <c r="J136" i="1"/>
  <c r="J138" i="1"/>
  <c r="AV143" i="1"/>
  <c r="BC145" i="1"/>
  <c r="BH146" i="1"/>
  <c r="AD146" i="1" s="1"/>
  <c r="J152" i="1"/>
  <c r="AV152" i="1"/>
  <c r="BC154" i="1"/>
  <c r="BH160" i="1"/>
  <c r="AD160" i="1" s="1"/>
  <c r="BC163" i="1"/>
  <c r="AV166" i="1"/>
  <c r="J172" i="1"/>
  <c r="BH172" i="1"/>
  <c r="AD172" i="1" s="1"/>
  <c r="AV223" i="1"/>
  <c r="IS17" i="2"/>
  <c r="J17" i="2" s="1"/>
  <c r="AL163" i="1"/>
  <c r="M163" i="1"/>
  <c r="BF197" i="1"/>
  <c r="O196" i="1"/>
  <c r="G26" i="3" s="1"/>
  <c r="I14" i="2"/>
  <c r="I71" i="2"/>
  <c r="I84" i="2"/>
  <c r="I106" i="2"/>
  <c r="I161" i="2"/>
  <c r="I177" i="2"/>
  <c r="I208" i="2"/>
  <c r="K208" i="2"/>
  <c r="C20" i="4"/>
  <c r="C20" i="8"/>
  <c r="BI132" i="1"/>
  <c r="AE132" i="1" s="1"/>
  <c r="K132" i="1"/>
  <c r="BI143" i="1"/>
  <c r="AE143" i="1" s="1"/>
  <c r="K143" i="1"/>
  <c r="AL147" i="1"/>
  <c r="M147" i="1"/>
  <c r="BI147" i="1"/>
  <c r="AE147" i="1" s="1"/>
  <c r="K147" i="1"/>
  <c r="AL155" i="1"/>
  <c r="M155" i="1"/>
  <c r="AL161" i="1"/>
  <c r="M161" i="1"/>
  <c r="BH171" i="1"/>
  <c r="AD171" i="1" s="1"/>
  <c r="J171" i="1"/>
  <c r="AW171" i="1"/>
  <c r="AL173" i="1"/>
  <c r="M173" i="1"/>
  <c r="BF195" i="1"/>
  <c r="O194" i="1"/>
  <c r="G25" i="3" s="1"/>
  <c r="BH202" i="1"/>
  <c r="AD202" i="1" s="1"/>
  <c r="J202" i="1"/>
  <c r="AW202" i="1"/>
  <c r="AL206" i="1"/>
  <c r="M206" i="1"/>
  <c r="BH209" i="1"/>
  <c r="AD209" i="1" s="1"/>
  <c r="AW209" i="1"/>
  <c r="J209" i="1"/>
  <c r="BC210" i="1"/>
  <c r="AV210" i="1"/>
  <c r="BI230" i="1"/>
  <c r="AC230" i="1" s="1"/>
  <c r="AX230" i="1"/>
  <c r="K230" i="1"/>
  <c r="K229" i="1" s="1"/>
  <c r="E31" i="3" s="1"/>
  <c r="IR35" i="2"/>
  <c r="IS35" i="2"/>
  <c r="C27" i="4"/>
  <c r="L13" i="1"/>
  <c r="L59" i="1"/>
  <c r="F14" i="3" s="1"/>
  <c r="I14" i="3" s="1"/>
  <c r="J63" i="1"/>
  <c r="J69" i="1"/>
  <c r="J75" i="1"/>
  <c r="J81" i="1"/>
  <c r="J86" i="1"/>
  <c r="O90" i="1"/>
  <c r="G15" i="3" s="1"/>
  <c r="O92" i="1"/>
  <c r="G16" i="3" s="1"/>
  <c r="J96" i="1"/>
  <c r="J103" i="1"/>
  <c r="J100" i="1" s="1"/>
  <c r="D17" i="3" s="1"/>
  <c r="K106" i="1"/>
  <c r="J108" i="1"/>
  <c r="AW108" i="1"/>
  <c r="K115" i="1"/>
  <c r="J117" i="1"/>
  <c r="J109" i="1" s="1"/>
  <c r="D18" i="3" s="1"/>
  <c r="AW117" i="1"/>
  <c r="K121" i="1"/>
  <c r="AS122" i="1"/>
  <c r="AX123" i="1"/>
  <c r="M127" i="1"/>
  <c r="J129" i="1"/>
  <c r="J128" i="1" s="1"/>
  <c r="D21" i="3" s="1"/>
  <c r="BH132" i="1"/>
  <c r="AD132" i="1" s="1"/>
  <c r="BI133" i="1"/>
  <c r="AE133" i="1" s="1"/>
  <c r="M134" i="1"/>
  <c r="J135" i="1"/>
  <c r="AX136" i="1"/>
  <c r="M140" i="1"/>
  <c r="K141" i="1"/>
  <c r="AW142" i="1"/>
  <c r="BH143" i="1"/>
  <c r="AD143" i="1" s="1"/>
  <c r="AV145" i="1"/>
  <c r="BI145" i="1"/>
  <c r="AE145" i="1" s="1"/>
  <c r="M146" i="1"/>
  <c r="AW148" i="1"/>
  <c r="J154" i="1"/>
  <c r="BH154" i="1"/>
  <c r="AD154" i="1" s="1"/>
  <c r="BC155" i="1"/>
  <c r="BH163" i="1"/>
  <c r="AD163" i="1" s="1"/>
  <c r="J168" i="1"/>
  <c r="BH168" i="1"/>
  <c r="AD168" i="1" s="1"/>
  <c r="AV169" i="1"/>
  <c r="K33" i="2"/>
  <c r="BI112" i="1"/>
  <c r="AC112" i="1" s="1"/>
  <c r="K112" i="1"/>
  <c r="AL154" i="1"/>
  <c r="M154" i="1"/>
  <c r="BH187" i="1"/>
  <c r="AD187" i="1" s="1"/>
  <c r="J187" i="1"/>
  <c r="AW187" i="1"/>
  <c r="AL133" i="1"/>
  <c r="M133" i="1"/>
  <c r="AL145" i="1"/>
  <c r="M145" i="1"/>
  <c r="AL159" i="1"/>
  <c r="M159" i="1"/>
  <c r="AL169" i="1"/>
  <c r="M169" i="1"/>
  <c r="BH175" i="1"/>
  <c r="AD175" i="1" s="1"/>
  <c r="J175" i="1"/>
  <c r="AW175" i="1"/>
  <c r="AL178" i="1"/>
  <c r="M178" i="1"/>
  <c r="BH197" i="1"/>
  <c r="AD197" i="1" s="1"/>
  <c r="J197" i="1"/>
  <c r="J196" i="1" s="1"/>
  <c r="D26" i="3" s="1"/>
  <c r="AW197" i="1"/>
  <c r="BC206" i="1"/>
  <c r="AV206" i="1"/>
  <c r="I17" i="2"/>
  <c r="K17" i="2"/>
  <c r="I20" i="2"/>
  <c r="K39" i="2"/>
  <c r="AW15" i="1"/>
  <c r="AW32" i="1"/>
  <c r="AW40" i="1"/>
  <c r="AW44" i="1"/>
  <c r="AW47" i="1"/>
  <c r="AW50" i="1"/>
  <c r="AW53" i="1"/>
  <c r="AW56" i="1"/>
  <c r="AW61" i="1"/>
  <c r="AW65" i="1"/>
  <c r="AW71" i="1"/>
  <c r="AW77" i="1"/>
  <c r="AW83" i="1"/>
  <c r="AW88" i="1"/>
  <c r="AW91" i="1"/>
  <c r="AW93" i="1"/>
  <c r="AW98" i="1"/>
  <c r="K104" i="1"/>
  <c r="AX106" i="1"/>
  <c r="AV106" i="1" s="1"/>
  <c r="AX115" i="1"/>
  <c r="AV115" i="1" s="1"/>
  <c r="AU118" i="1"/>
  <c r="AX121" i="1"/>
  <c r="AV121" i="1" s="1"/>
  <c r="AW123" i="1"/>
  <c r="BF132" i="1"/>
  <c r="AW136" i="1"/>
  <c r="BC147" i="1"/>
  <c r="BH147" i="1"/>
  <c r="AD147" i="1" s="1"/>
  <c r="BH152" i="1"/>
  <c r="AD152" i="1" s="1"/>
  <c r="BC159" i="1"/>
  <c r="BC161" i="1"/>
  <c r="O229" i="1"/>
  <c r="G31" i="3" s="1"/>
  <c r="K34" i="2"/>
  <c r="BI127" i="1"/>
  <c r="K127" i="1"/>
  <c r="K122" i="1" s="1"/>
  <c r="E20" i="3" s="1"/>
  <c r="C21" i="4"/>
  <c r="C21" i="8"/>
  <c r="C18" i="4"/>
  <c r="C18" i="8"/>
  <c r="BI129" i="1"/>
  <c r="AE129" i="1" s="1"/>
  <c r="K129" i="1"/>
  <c r="K128" i="1" s="1"/>
  <c r="E21" i="3" s="1"/>
  <c r="BI135" i="1"/>
  <c r="AE135" i="1" s="1"/>
  <c r="K135" i="1"/>
  <c r="AL148" i="1"/>
  <c r="M148" i="1"/>
  <c r="AL153" i="1"/>
  <c r="M153" i="1"/>
  <c r="BI153" i="1"/>
  <c r="AE153" i="1" s="1"/>
  <c r="K153" i="1"/>
  <c r="AL156" i="1"/>
  <c r="M156" i="1"/>
  <c r="AL162" i="1"/>
  <c r="M162" i="1"/>
  <c r="AL164" i="1"/>
  <c r="M164" i="1"/>
  <c r="BC178" i="1"/>
  <c r="AV178" i="1"/>
  <c r="BH180" i="1"/>
  <c r="AD180" i="1" s="1"/>
  <c r="J180" i="1"/>
  <c r="AW180" i="1"/>
  <c r="AL182" i="1"/>
  <c r="M182" i="1"/>
  <c r="BF199" i="1"/>
  <c r="O198" i="1"/>
  <c r="G27" i="3" s="1"/>
  <c r="BH213" i="1"/>
  <c r="AW213" i="1"/>
  <c r="J213" i="1"/>
  <c r="BC220" i="1"/>
  <c r="AV220" i="1"/>
  <c r="BC228" i="1"/>
  <c r="AV228" i="1"/>
  <c r="I21" i="2"/>
  <c r="IR37" i="2"/>
  <c r="IS37" i="2"/>
  <c r="AW21" i="1"/>
  <c r="AW25" i="1"/>
  <c r="AW29" i="1"/>
  <c r="AW37" i="1"/>
  <c r="AT13" i="1"/>
  <c r="J15" i="1"/>
  <c r="J13" i="1" s="1"/>
  <c r="J21" i="1"/>
  <c r="J25" i="1"/>
  <c r="J29" i="1"/>
  <c r="J32" i="1"/>
  <c r="J37" i="1"/>
  <c r="J40" i="1"/>
  <c r="J44" i="1"/>
  <c r="J47" i="1"/>
  <c r="J50" i="1"/>
  <c r="J53" i="1"/>
  <c r="J56" i="1"/>
  <c r="J61" i="1"/>
  <c r="J65" i="1"/>
  <c r="J71" i="1"/>
  <c r="J77" i="1"/>
  <c r="J83" i="1"/>
  <c r="J88" i="1"/>
  <c r="J91" i="1"/>
  <c r="J90" i="1" s="1"/>
  <c r="D15" i="3" s="1"/>
  <c r="L92" i="1"/>
  <c r="F16" i="3" s="1"/>
  <c r="I16" i="3" s="1"/>
  <c r="J93" i="1"/>
  <c r="J98" i="1"/>
  <c r="J104" i="1"/>
  <c r="AX104" i="1"/>
  <c r="AX112" i="1"/>
  <c r="O122" i="1"/>
  <c r="G20" i="3" s="1"/>
  <c r="M125" i="1"/>
  <c r="J127" i="1"/>
  <c r="AX127" i="1"/>
  <c r="BH129" i="1"/>
  <c r="AD129" i="1" s="1"/>
  <c r="M132" i="1"/>
  <c r="BH135" i="1"/>
  <c r="AD135" i="1" s="1"/>
  <c r="M138" i="1"/>
  <c r="J140" i="1"/>
  <c r="AX140" i="1"/>
  <c r="M143" i="1"/>
  <c r="M150" i="1"/>
  <c r="BH150" i="1"/>
  <c r="O151" i="1"/>
  <c r="G23" i="3" s="1"/>
  <c r="M152" i="1"/>
  <c r="BH159" i="1"/>
  <c r="AD159" i="1" s="1"/>
  <c r="AV160" i="1"/>
  <c r="J161" i="1"/>
  <c r="BH161" i="1"/>
  <c r="AD161" i="1" s="1"/>
  <c r="J166" i="1"/>
  <c r="BH166" i="1"/>
  <c r="AV172" i="1"/>
  <c r="AV204" i="1"/>
  <c r="AS207" i="1"/>
  <c r="BI120" i="1"/>
  <c r="AC120" i="1" s="1"/>
  <c r="K120" i="1"/>
  <c r="K118" i="1" s="1"/>
  <c r="E19" i="3" s="1"/>
  <c r="AL190" i="1"/>
  <c r="M190" i="1"/>
  <c r="C19" i="8"/>
  <c r="AL123" i="1"/>
  <c r="AU122" i="1" s="1"/>
  <c r="M123" i="1"/>
  <c r="AL136" i="1"/>
  <c r="M136" i="1"/>
  <c r="AL160" i="1"/>
  <c r="M160" i="1"/>
  <c r="BH164" i="1"/>
  <c r="AD164" i="1" s="1"/>
  <c r="J164" i="1"/>
  <c r="AW164" i="1"/>
  <c r="O167" i="1"/>
  <c r="G24" i="3" s="1"/>
  <c r="BF168" i="1"/>
  <c r="BC182" i="1"/>
  <c r="AV182" i="1"/>
  <c r="BH183" i="1"/>
  <c r="AD183" i="1" s="1"/>
  <c r="J183" i="1"/>
  <c r="AW183" i="1"/>
  <c r="AL186" i="1"/>
  <c r="M186" i="1"/>
  <c r="BH195" i="1"/>
  <c r="AD195" i="1" s="1"/>
  <c r="J195" i="1"/>
  <c r="J194" i="1" s="1"/>
  <c r="D25" i="3" s="1"/>
  <c r="AW195" i="1"/>
  <c r="BI211" i="1"/>
  <c r="AE211" i="1" s="1"/>
  <c r="K211" i="1"/>
  <c r="AX211" i="1"/>
  <c r="O214" i="1"/>
  <c r="G29" i="3" s="1"/>
  <c r="BF217" i="1"/>
  <c r="BH218" i="1"/>
  <c r="AW218" i="1"/>
  <c r="J218" i="1"/>
  <c r="I18" i="2"/>
  <c r="I27" i="2"/>
  <c r="K27" i="2"/>
  <c r="AL108" i="1"/>
  <c r="AU100" i="1" s="1"/>
  <c r="M14" i="1"/>
  <c r="M13" i="1" s="1"/>
  <c r="M20" i="1"/>
  <c r="M23" i="1"/>
  <c r="M28" i="1"/>
  <c r="M31" i="1"/>
  <c r="M35" i="1"/>
  <c r="M39" i="1"/>
  <c r="M43" i="1"/>
  <c r="M46" i="1"/>
  <c r="M49" i="1"/>
  <c r="M52" i="1"/>
  <c r="M55" i="1"/>
  <c r="M58" i="1"/>
  <c r="M60" i="1"/>
  <c r="M63" i="1"/>
  <c r="M69" i="1"/>
  <c r="M75" i="1"/>
  <c r="M81" i="1"/>
  <c r="M86" i="1"/>
  <c r="M96" i="1"/>
  <c r="M103" i="1"/>
  <c r="M100" i="1" s="1"/>
  <c r="L109" i="1"/>
  <c r="F18" i="3" s="1"/>
  <c r="I18" i="3" s="1"/>
  <c r="L131" i="1"/>
  <c r="F22" i="3" s="1"/>
  <c r="I22" i="3" s="1"/>
  <c r="BC141" i="1"/>
  <c r="L151" i="1"/>
  <c r="F23" i="3" s="1"/>
  <c r="I23" i="3" s="1"/>
  <c r="BC153" i="1"/>
  <c r="BH153" i="1"/>
  <c r="AD153" i="1" s="1"/>
  <c r="J159" i="1"/>
  <c r="L167" i="1"/>
  <c r="F24" i="3" s="1"/>
  <c r="I24" i="3" s="1"/>
  <c r="J39" i="2"/>
  <c r="AL212" i="1"/>
  <c r="M212" i="1"/>
  <c r="AL217" i="1"/>
  <c r="AU214" i="1" s="1"/>
  <c r="M217" i="1"/>
  <c r="AL223" i="1"/>
  <c r="M223" i="1"/>
  <c r="AL230" i="1"/>
  <c r="AU229" i="1" s="1"/>
  <c r="M230" i="1"/>
  <c r="M229" i="1" s="1"/>
  <c r="I64" i="2"/>
  <c r="K64" i="2"/>
  <c r="I69" i="2"/>
  <c r="K77" i="2"/>
  <c r="I77" i="2"/>
  <c r="I82" i="2"/>
  <c r="I89" i="2"/>
  <c r="I97" i="2"/>
  <c r="K97" i="2"/>
  <c r="K110" i="2"/>
  <c r="I110" i="2"/>
  <c r="K130" i="2"/>
  <c r="I130" i="2"/>
  <c r="I143" i="2"/>
  <c r="I146" i="2"/>
  <c r="I148" i="2"/>
  <c r="I151" i="2"/>
  <c r="I153" i="2"/>
  <c r="I155" i="2"/>
  <c r="I158" i="2"/>
  <c r="I164" i="2"/>
  <c r="I167" i="2"/>
  <c r="I169" i="2"/>
  <c r="I171" i="2"/>
  <c r="I174" i="2"/>
  <c r="I183" i="2"/>
  <c r="K183" i="2"/>
  <c r="I188" i="2"/>
  <c r="I206" i="2"/>
  <c r="K206" i="2"/>
  <c r="I232" i="2"/>
  <c r="I235" i="2"/>
  <c r="K235" i="2"/>
  <c r="K156" i="1"/>
  <c r="K160" i="1"/>
  <c r="K163" i="1"/>
  <c r="K169" i="1"/>
  <c r="K173" i="1"/>
  <c r="M175" i="1"/>
  <c r="K178" i="1"/>
  <c r="M180" i="1"/>
  <c r="K182" i="1"/>
  <c r="M183" i="1"/>
  <c r="K186" i="1"/>
  <c r="M187" i="1"/>
  <c r="K190" i="1"/>
  <c r="M192" i="1"/>
  <c r="M195" i="1"/>
  <c r="M194" i="1" s="1"/>
  <c r="AL195" i="1"/>
  <c r="AU194" i="1" s="1"/>
  <c r="M197" i="1"/>
  <c r="M196" i="1" s="1"/>
  <c r="AL197" i="1"/>
  <c r="AU196" i="1" s="1"/>
  <c r="M199" i="1"/>
  <c r="AL199" i="1"/>
  <c r="K201" i="1"/>
  <c r="M202" i="1"/>
  <c r="K206" i="1"/>
  <c r="BH212" i="1"/>
  <c r="AD212" i="1" s="1"/>
  <c r="BH217" i="1"/>
  <c r="AD217" i="1" s="1"/>
  <c r="BH223" i="1"/>
  <c r="AD223" i="1" s="1"/>
  <c r="AV226" i="1"/>
  <c r="BI228" i="1"/>
  <c r="K13" i="2"/>
  <c r="M216" i="2"/>
  <c r="M221" i="2"/>
  <c r="F29" i="5"/>
  <c r="BI226" i="1"/>
  <c r="AE226" i="1" s="1"/>
  <c r="K226" i="1"/>
  <c r="I62" i="2"/>
  <c r="K62" i="2"/>
  <c r="I67" i="2"/>
  <c r="I74" i="2"/>
  <c r="I80" i="2"/>
  <c r="K87" i="2"/>
  <c r="I87" i="2"/>
  <c r="I92" i="2"/>
  <c r="I107" i="2"/>
  <c r="I127" i="2"/>
  <c r="K127" i="2"/>
  <c r="I136" i="2"/>
  <c r="I135" i="2" s="1"/>
  <c r="I141" i="2"/>
  <c r="I181" i="2"/>
  <c r="K181" i="2"/>
  <c r="I186" i="2"/>
  <c r="I194" i="2"/>
  <c r="K194" i="2"/>
  <c r="I201" i="2"/>
  <c r="I200" i="2" s="1"/>
  <c r="I204" i="2"/>
  <c r="I210" i="2"/>
  <c r="I212" i="2"/>
  <c r="I214" i="2"/>
  <c r="I217" i="2"/>
  <c r="I219" i="2"/>
  <c r="I222" i="2"/>
  <c r="I241" i="2"/>
  <c r="I240" i="2" s="1"/>
  <c r="IS14" i="2"/>
  <c r="J14" i="2" s="1"/>
  <c r="J12" i="2" s="1"/>
  <c r="IS19" i="2"/>
  <c r="J19" i="2" s="1"/>
  <c r="I53" i="2"/>
  <c r="AL228" i="1"/>
  <c r="AU219" i="1" s="1"/>
  <c r="M228" i="1"/>
  <c r="I57" i="2"/>
  <c r="I65" i="2"/>
  <c r="I72" i="2"/>
  <c r="K72" i="2"/>
  <c r="I78" i="2"/>
  <c r="K85" i="2"/>
  <c r="I85" i="2"/>
  <c r="I90" i="2"/>
  <c r="I98" i="2"/>
  <c r="I100" i="2"/>
  <c r="I105" i="2"/>
  <c r="I112" i="2"/>
  <c r="I118" i="2"/>
  <c r="K118" i="2"/>
  <c r="I121" i="2"/>
  <c r="K121" i="2"/>
  <c r="I124" i="2"/>
  <c r="K124" i="2"/>
  <c r="I132" i="2"/>
  <c r="I139" i="2"/>
  <c r="I179" i="2"/>
  <c r="K179" i="2"/>
  <c r="I184" i="2"/>
  <c r="I192" i="2"/>
  <c r="K192" i="2"/>
  <c r="I207" i="2"/>
  <c r="I237" i="2"/>
  <c r="H21" i="7"/>
  <c r="I21" i="7" s="1"/>
  <c r="H35" i="7"/>
  <c r="I35" i="7" s="1"/>
  <c r="I36" i="7" s="1"/>
  <c r="I23" i="6" s="1"/>
  <c r="M166" i="1"/>
  <c r="M168" i="1"/>
  <c r="M172" i="1"/>
  <c r="M176" i="1"/>
  <c r="M181" i="1"/>
  <c r="M185" i="1"/>
  <c r="M188" i="1"/>
  <c r="M200" i="1"/>
  <c r="M204" i="1"/>
  <c r="J212" i="1"/>
  <c r="J217" i="1"/>
  <c r="J223" i="1"/>
  <c r="J219" i="1" s="1"/>
  <c r="D30" i="3" s="1"/>
  <c r="IS43" i="2"/>
  <c r="IS49" i="2"/>
  <c r="M175" i="2"/>
  <c r="BI208" i="1"/>
  <c r="AE208" i="1" s="1"/>
  <c r="C17" i="8" s="1"/>
  <c r="K208" i="1"/>
  <c r="I44" i="2"/>
  <c r="K44" i="2"/>
  <c r="I63" i="2"/>
  <c r="I70" i="2"/>
  <c r="I75" i="2"/>
  <c r="K83" i="2"/>
  <c r="I83" i="2"/>
  <c r="I88" i="2"/>
  <c r="I109" i="2"/>
  <c r="I128" i="2"/>
  <c r="I157" i="2"/>
  <c r="I159" i="2"/>
  <c r="I166" i="2"/>
  <c r="I168" i="2"/>
  <c r="I170" i="2"/>
  <c r="I172" i="2"/>
  <c r="I176" i="2"/>
  <c r="K176" i="2"/>
  <c r="I182" i="2"/>
  <c r="I190" i="2"/>
  <c r="K190" i="2"/>
  <c r="I195" i="2"/>
  <c r="I205" i="2"/>
  <c r="K228" i="1"/>
  <c r="BC230" i="1"/>
  <c r="IS18" i="2"/>
  <c r="J18" i="2" s="1"/>
  <c r="IS21" i="2"/>
  <c r="J21" i="2" s="1"/>
  <c r="J41" i="2"/>
  <c r="M202" i="2"/>
  <c r="AL209" i="1"/>
  <c r="M209" i="1"/>
  <c r="I61" i="2"/>
  <c r="I68" i="2"/>
  <c r="K68" i="2"/>
  <c r="I73" i="2"/>
  <c r="I81" i="2"/>
  <c r="I86" i="2"/>
  <c r="I93" i="2"/>
  <c r="I126" i="2"/>
  <c r="I142" i="2"/>
  <c r="K142" i="2"/>
  <c r="I180" i="2"/>
  <c r="I187" i="2"/>
  <c r="I193" i="2"/>
  <c r="I199" i="2"/>
  <c r="I198" i="2" s="1"/>
  <c r="I203" i="2"/>
  <c r="I218" i="2"/>
  <c r="I220" i="2"/>
  <c r="I227" i="2"/>
  <c r="K227" i="2"/>
  <c r="AV230" i="1"/>
  <c r="IR40" i="2"/>
  <c r="IR42" i="2"/>
  <c r="IR48" i="2"/>
  <c r="IR52" i="2"/>
  <c r="IR54" i="2"/>
  <c r="M156" i="2"/>
  <c r="J83" i="2"/>
  <c r="J85" i="2"/>
  <c r="J87" i="2"/>
  <c r="J91" i="2"/>
  <c r="IR101" i="2"/>
  <c r="IR103" i="2"/>
  <c r="IS112" i="2"/>
  <c r="J112" i="2" s="1"/>
  <c r="IS136" i="2"/>
  <c r="J136" i="2" s="1"/>
  <c r="J135" i="2" s="1"/>
  <c r="IR144" i="2"/>
  <c r="IR147" i="2"/>
  <c r="IR149" i="2"/>
  <c r="IR152" i="2"/>
  <c r="IR154" i="2"/>
  <c r="IS177" i="2"/>
  <c r="J177" i="2" s="1"/>
  <c r="IS180" i="2"/>
  <c r="J180" i="2" s="1"/>
  <c r="IS182" i="2"/>
  <c r="J182" i="2" s="1"/>
  <c r="IS184" i="2"/>
  <c r="J184" i="2" s="1"/>
  <c r="IS186" i="2"/>
  <c r="J186" i="2" s="1"/>
  <c r="IS188" i="2"/>
  <c r="J188" i="2" s="1"/>
  <c r="IS191" i="2"/>
  <c r="J191" i="2" s="1"/>
  <c r="IS193" i="2"/>
  <c r="J193" i="2" s="1"/>
  <c r="IS195" i="2"/>
  <c r="J195" i="2" s="1"/>
  <c r="IS203" i="2"/>
  <c r="J203" i="2" s="1"/>
  <c r="IS205" i="2"/>
  <c r="J205" i="2" s="1"/>
  <c r="IS207" i="2"/>
  <c r="J207" i="2" s="1"/>
  <c r="IR211" i="2"/>
  <c r="IR213" i="2"/>
  <c r="IR215" i="2"/>
  <c r="IS222" i="2"/>
  <c r="J222" i="2" s="1"/>
  <c r="IS224" i="2"/>
  <c r="IS226" i="2"/>
  <c r="IS228" i="2"/>
  <c r="IS230" i="2"/>
  <c r="IS232" i="2"/>
  <c r="J232" i="2" s="1"/>
  <c r="IS234" i="2"/>
  <c r="IS237" i="2"/>
  <c r="J237" i="2" s="1"/>
  <c r="I18" i="7"/>
  <c r="IS108" i="2"/>
  <c r="IS157" i="2"/>
  <c r="J157" i="2" s="1"/>
  <c r="IS159" i="2"/>
  <c r="J159" i="2" s="1"/>
  <c r="IS161" i="2"/>
  <c r="J161" i="2" s="1"/>
  <c r="IS163" i="2"/>
  <c r="IS166" i="2"/>
  <c r="J166" i="2" s="1"/>
  <c r="IS168" i="2"/>
  <c r="J168" i="2" s="1"/>
  <c r="IS170" i="2"/>
  <c r="J170" i="2" s="1"/>
  <c r="IS172" i="2"/>
  <c r="J172" i="2" s="1"/>
  <c r="IS201" i="2"/>
  <c r="J201" i="2" s="1"/>
  <c r="J200" i="2" s="1"/>
  <c r="IS218" i="2"/>
  <c r="J218" i="2" s="1"/>
  <c r="IS220" i="2"/>
  <c r="J220" i="2" s="1"/>
  <c r="IS57" i="2"/>
  <c r="J57" i="2" s="1"/>
  <c r="IS61" i="2"/>
  <c r="J61" i="2" s="1"/>
  <c r="IS63" i="2"/>
  <c r="J63" i="2" s="1"/>
  <c r="IS65" i="2"/>
  <c r="J65" i="2" s="1"/>
  <c r="IS67" i="2"/>
  <c r="J67" i="2" s="1"/>
  <c r="IS69" i="2"/>
  <c r="J69" i="2" s="1"/>
  <c r="IS71" i="2"/>
  <c r="J71" i="2" s="1"/>
  <c r="IS73" i="2"/>
  <c r="J73" i="2" s="1"/>
  <c r="IS75" i="2"/>
  <c r="J75" i="2" s="1"/>
  <c r="IS98" i="2"/>
  <c r="J98" i="2" s="1"/>
  <c r="J96" i="2" s="1"/>
  <c r="IS100" i="2"/>
  <c r="J100" i="2" s="1"/>
  <c r="IS126" i="2"/>
  <c r="J126" i="2" s="1"/>
  <c r="IS128" i="2"/>
  <c r="J128" i="2" s="1"/>
  <c r="IS139" i="2"/>
  <c r="J139" i="2" s="1"/>
  <c r="IS141" i="2"/>
  <c r="J141" i="2" s="1"/>
  <c r="IS143" i="2"/>
  <c r="J143" i="2" s="1"/>
  <c r="IS146" i="2"/>
  <c r="J146" i="2" s="1"/>
  <c r="IS148" i="2"/>
  <c r="J148" i="2" s="1"/>
  <c r="IS151" i="2"/>
  <c r="J151" i="2" s="1"/>
  <c r="IS153" i="2"/>
  <c r="J153" i="2" s="1"/>
  <c r="IS155" i="2"/>
  <c r="J155" i="2" s="1"/>
  <c r="IS199" i="2"/>
  <c r="J199" i="2" s="1"/>
  <c r="J198" i="2" s="1"/>
  <c r="IS210" i="2"/>
  <c r="J210" i="2" s="1"/>
  <c r="IS212" i="2"/>
  <c r="J212" i="2" s="1"/>
  <c r="IS214" i="2"/>
  <c r="J214" i="2" s="1"/>
  <c r="IS241" i="2"/>
  <c r="J241" i="2" s="1"/>
  <c r="J240" i="2" s="1"/>
  <c r="IS78" i="2"/>
  <c r="J78" i="2" s="1"/>
  <c r="IS80" i="2"/>
  <c r="J80" i="2" s="1"/>
  <c r="IS82" i="2"/>
  <c r="J82" i="2" s="1"/>
  <c r="IS84" i="2"/>
  <c r="J84" i="2" s="1"/>
  <c r="IS86" i="2"/>
  <c r="J86" i="2" s="1"/>
  <c r="IS88" i="2"/>
  <c r="J88" i="2" s="1"/>
  <c r="IS90" i="2"/>
  <c r="J90" i="2" s="1"/>
  <c r="IS92" i="2"/>
  <c r="J92" i="2" s="1"/>
  <c r="IS105" i="2"/>
  <c r="J105" i="2" s="1"/>
  <c r="IS107" i="2"/>
  <c r="J107" i="2" s="1"/>
  <c r="IS109" i="2"/>
  <c r="J109" i="2" s="1"/>
  <c r="IS132" i="2"/>
  <c r="J132" i="2" s="1"/>
  <c r="IS158" i="2"/>
  <c r="J158" i="2" s="1"/>
  <c r="IS160" i="2"/>
  <c r="IS162" i="2"/>
  <c r="IS164" i="2"/>
  <c r="J164" i="2" s="1"/>
  <c r="IS167" i="2"/>
  <c r="J167" i="2" s="1"/>
  <c r="IS169" i="2"/>
  <c r="J169" i="2" s="1"/>
  <c r="IS171" i="2"/>
  <c r="J171" i="2" s="1"/>
  <c r="IS174" i="2"/>
  <c r="J174" i="2" s="1"/>
  <c r="IS217" i="2"/>
  <c r="J217" i="2" s="1"/>
  <c r="IS219" i="2"/>
  <c r="J219" i="2" s="1"/>
  <c r="BC85" i="1" l="1"/>
  <c r="J47" i="2"/>
  <c r="BC212" i="1"/>
  <c r="J89" i="2"/>
  <c r="K70" i="2"/>
  <c r="K198" i="1"/>
  <c r="E27" i="3" s="1"/>
  <c r="M92" i="1"/>
  <c r="AV185" i="1"/>
  <c r="M76" i="2"/>
  <c r="K81" i="2"/>
  <c r="BC30" i="1"/>
  <c r="BC81" i="1"/>
  <c r="AV125" i="1"/>
  <c r="J118" i="1"/>
  <c r="D19" i="3" s="1"/>
  <c r="AV156" i="1"/>
  <c r="AV51" i="1"/>
  <c r="M125" i="2"/>
  <c r="AV186" i="1"/>
  <c r="AV95" i="1"/>
  <c r="BC14" i="1"/>
  <c r="C16" i="8"/>
  <c r="K214" i="1"/>
  <c r="E29" i="3" s="1"/>
  <c r="AU207" i="1"/>
  <c r="K204" i="2"/>
  <c r="BC201" i="1"/>
  <c r="K186" i="2"/>
  <c r="AV162" i="1"/>
  <c r="BC138" i="1"/>
  <c r="BC133" i="1"/>
  <c r="AV86" i="1"/>
  <c r="BC60" i="1"/>
  <c r="AV52" i="1"/>
  <c r="BC49" i="1"/>
  <c r="AV23" i="1"/>
  <c r="BC20" i="1"/>
  <c r="BC16" i="1"/>
  <c r="I12" i="2"/>
  <c r="K239" i="2"/>
  <c r="M214" i="1"/>
  <c r="M207" i="1"/>
  <c r="K203" i="2"/>
  <c r="K201" i="2"/>
  <c r="K200" i="2" s="1"/>
  <c r="AV173" i="1"/>
  <c r="BC158" i="1"/>
  <c r="K151" i="1"/>
  <c r="E23" i="3" s="1"/>
  <c r="J129" i="2"/>
  <c r="J111" i="2"/>
  <c r="AU109" i="1"/>
  <c r="BC110" i="1"/>
  <c r="J106" i="2"/>
  <c r="AV103" i="1"/>
  <c r="AV96" i="1"/>
  <c r="K98" i="2"/>
  <c r="K93" i="2"/>
  <c r="AV75" i="1"/>
  <c r="C26" i="8"/>
  <c r="F26" i="8" s="1"/>
  <c r="BC69" i="1"/>
  <c r="AV55" i="1"/>
  <c r="AV49" i="1"/>
  <c r="AV48" i="1"/>
  <c r="AV46" i="1"/>
  <c r="BC39" i="1"/>
  <c r="BC35" i="1"/>
  <c r="BC31" i="1"/>
  <c r="K20" i="2"/>
  <c r="AV14" i="1"/>
  <c r="K219" i="1"/>
  <c r="E30" i="3" s="1"/>
  <c r="M219" i="1"/>
  <c r="K222" i="2"/>
  <c r="J214" i="1"/>
  <c r="D29" i="3" s="1"/>
  <c r="BC215" i="1"/>
  <c r="J207" i="1"/>
  <c r="D28" i="3" s="1"/>
  <c r="K207" i="1"/>
  <c r="E28" i="3" s="1"/>
  <c r="AV188" i="1"/>
  <c r="M167" i="1"/>
  <c r="K167" i="1"/>
  <c r="E24" i="3" s="1"/>
  <c r="AU167" i="1"/>
  <c r="AU151" i="1"/>
  <c r="J131" i="1"/>
  <c r="D22" i="3" s="1"/>
  <c r="C25" i="8"/>
  <c r="AV133" i="1"/>
  <c r="AU131" i="1"/>
  <c r="K140" i="2"/>
  <c r="C17" i="4"/>
  <c r="K134" i="2"/>
  <c r="M122" i="1"/>
  <c r="M118" i="1"/>
  <c r="AV110" i="1"/>
  <c r="K109" i="1"/>
  <c r="E18" i="3" s="1"/>
  <c r="K100" i="1"/>
  <c r="E17" i="3" s="1"/>
  <c r="BC103" i="1"/>
  <c r="K105" i="2"/>
  <c r="K92" i="1"/>
  <c r="E16" i="3" s="1"/>
  <c r="BC86" i="1"/>
  <c r="AV81" i="1"/>
  <c r="C15" i="8"/>
  <c r="BC75" i="1"/>
  <c r="J59" i="1"/>
  <c r="D14" i="3" s="1"/>
  <c r="AV69" i="1"/>
  <c r="K59" i="1"/>
  <c r="E14" i="3" s="1"/>
  <c r="BC58" i="1"/>
  <c r="K74" i="2"/>
  <c r="BC55" i="1"/>
  <c r="BC52" i="1"/>
  <c r="K67" i="2"/>
  <c r="K66" i="2"/>
  <c r="AV43" i="1"/>
  <c r="K55" i="2"/>
  <c r="J53" i="2"/>
  <c r="J16" i="2" s="1"/>
  <c r="AV39" i="1"/>
  <c r="AV35" i="1"/>
  <c r="AV31" i="1"/>
  <c r="J17" i="1"/>
  <c r="D13" i="3" s="1"/>
  <c r="AV28" i="1"/>
  <c r="C14" i="4"/>
  <c r="K17" i="1"/>
  <c r="E13" i="3" s="1"/>
  <c r="BC23" i="1"/>
  <c r="M17" i="1"/>
  <c r="C14" i="8"/>
  <c r="K13" i="1"/>
  <c r="E12" i="3" s="1"/>
  <c r="K86" i="2"/>
  <c r="J175" i="2"/>
  <c r="K168" i="2"/>
  <c r="M129" i="2"/>
  <c r="K128" i="2"/>
  <c r="K78" i="2"/>
  <c r="K57" i="2"/>
  <c r="K92" i="2"/>
  <c r="K18" i="2"/>
  <c r="K95" i="2"/>
  <c r="K94" i="2" s="1"/>
  <c r="K109" i="2"/>
  <c r="I111" i="2"/>
  <c r="K136" i="2"/>
  <c r="K135" i="2" s="1"/>
  <c r="K185" i="2"/>
  <c r="M104" i="2"/>
  <c r="M11" i="2" s="1"/>
  <c r="J76" i="2"/>
  <c r="K187" i="2"/>
  <c r="K75" i="2"/>
  <c r="K232" i="2"/>
  <c r="K63" i="2"/>
  <c r="K237" i="2"/>
  <c r="K100" i="2"/>
  <c r="K146" i="2"/>
  <c r="J125" i="2"/>
  <c r="K199" i="2"/>
  <c r="K198" i="2" s="1"/>
  <c r="I104" i="2"/>
  <c r="K65" i="2"/>
  <c r="K214" i="2"/>
  <c r="K82" i="2"/>
  <c r="D12" i="3"/>
  <c r="I48" i="2"/>
  <c r="K48" i="2"/>
  <c r="I215" i="2"/>
  <c r="K215" i="2"/>
  <c r="I147" i="2"/>
  <c r="K147" i="2"/>
  <c r="I101" i="2"/>
  <c r="K101" i="2"/>
  <c r="I52" i="2"/>
  <c r="K52" i="2"/>
  <c r="I27" i="7"/>
  <c r="F29" i="7" s="1"/>
  <c r="I14" i="6"/>
  <c r="I22" i="6" s="1"/>
  <c r="AV195" i="1"/>
  <c r="BC195" i="1"/>
  <c r="AV164" i="1"/>
  <c r="BC164" i="1"/>
  <c r="I149" i="2"/>
  <c r="K149" i="2"/>
  <c r="I103" i="2"/>
  <c r="K103" i="2"/>
  <c r="I54" i="2"/>
  <c r="K54" i="2"/>
  <c r="AV218" i="1"/>
  <c r="BC218" i="1"/>
  <c r="AV183" i="1"/>
  <c r="BC183" i="1"/>
  <c r="AV21" i="1"/>
  <c r="BC21" i="1"/>
  <c r="AV83" i="1"/>
  <c r="BC83" i="1"/>
  <c r="AV53" i="1"/>
  <c r="BC53" i="1"/>
  <c r="AV15" i="1"/>
  <c r="BC15" i="1"/>
  <c r="AV197" i="1"/>
  <c r="BC197" i="1"/>
  <c r="AV187" i="1"/>
  <c r="BC187" i="1"/>
  <c r="AV142" i="1"/>
  <c r="BC142" i="1"/>
  <c r="F12" i="3"/>
  <c r="I12" i="3" s="1"/>
  <c r="F32" i="3" s="1"/>
  <c r="L231" i="1"/>
  <c r="L12" i="1"/>
  <c r="F11" i="3" s="1"/>
  <c r="I152" i="2"/>
  <c r="K152" i="2"/>
  <c r="AV25" i="1"/>
  <c r="BC25" i="1"/>
  <c r="AV213" i="1"/>
  <c r="BC213" i="1"/>
  <c r="AV180" i="1"/>
  <c r="BC180" i="1"/>
  <c r="BC136" i="1"/>
  <c r="AV136" i="1"/>
  <c r="AV88" i="1"/>
  <c r="BC88" i="1"/>
  <c r="AV56" i="1"/>
  <c r="BC56" i="1"/>
  <c r="AV32" i="1"/>
  <c r="BC32" i="1"/>
  <c r="AV175" i="1"/>
  <c r="BC175" i="1"/>
  <c r="AV108" i="1"/>
  <c r="BC108" i="1"/>
  <c r="AV171" i="1"/>
  <c r="BC171" i="1"/>
  <c r="AV222" i="1"/>
  <c r="BC222" i="1"/>
  <c r="K188" i="2"/>
  <c r="I125" i="2"/>
  <c r="I175" i="2"/>
  <c r="K157" i="2"/>
  <c r="I221" i="2"/>
  <c r="K171" i="2"/>
  <c r="K164" i="2"/>
  <c r="K153" i="2"/>
  <c r="J221" i="2"/>
  <c r="J202" i="2"/>
  <c r="I202" i="2"/>
  <c r="K126" i="2"/>
  <c r="K61" i="2"/>
  <c r="I156" i="2"/>
  <c r="K88" i="2"/>
  <c r="K139" i="2"/>
  <c r="K90" i="2"/>
  <c r="I216" i="2"/>
  <c r="M198" i="1"/>
  <c r="J167" i="1"/>
  <c r="D24" i="3" s="1"/>
  <c r="K131" i="1"/>
  <c r="E22" i="3" s="1"/>
  <c r="J216" i="2"/>
  <c r="J104" i="2"/>
  <c r="J209" i="2"/>
  <c r="K218" i="2"/>
  <c r="K193" i="2"/>
  <c r="K205" i="2"/>
  <c r="K182" i="2"/>
  <c r="K170" i="2"/>
  <c r="K159" i="2"/>
  <c r="K207" i="2"/>
  <c r="K112" i="2"/>
  <c r="K111" i="2" s="1"/>
  <c r="K241" i="2"/>
  <c r="K240" i="2" s="1"/>
  <c r="K217" i="2"/>
  <c r="K210" i="2"/>
  <c r="K141" i="2"/>
  <c r="K107" i="2"/>
  <c r="K80" i="2"/>
  <c r="AU198" i="1"/>
  <c r="K174" i="2"/>
  <c r="K167" i="2"/>
  <c r="K155" i="2"/>
  <c r="K148" i="2"/>
  <c r="I129" i="2"/>
  <c r="K69" i="2"/>
  <c r="O12" i="1"/>
  <c r="G11" i="3" s="1"/>
  <c r="J92" i="1"/>
  <c r="D16" i="3" s="1"/>
  <c r="K161" i="2"/>
  <c r="J198" i="1"/>
  <c r="D27" i="3" s="1"/>
  <c r="I40" i="2"/>
  <c r="K40" i="2"/>
  <c r="AV211" i="1"/>
  <c r="BC211" i="1"/>
  <c r="AV91" i="1"/>
  <c r="BC91" i="1"/>
  <c r="AV61" i="1"/>
  <c r="BC61" i="1"/>
  <c r="AV40" i="1"/>
  <c r="BC40" i="1"/>
  <c r="BC209" i="1"/>
  <c r="AV209" i="1"/>
  <c r="AV199" i="1"/>
  <c r="BC199" i="1"/>
  <c r="I96" i="2"/>
  <c r="K71" i="2"/>
  <c r="BC121" i="1"/>
  <c r="C15" i="4"/>
  <c r="AV29" i="1"/>
  <c r="BC29" i="1"/>
  <c r="I211" i="2"/>
  <c r="K211" i="2"/>
  <c r="I42" i="2"/>
  <c r="K42" i="2"/>
  <c r="AV140" i="1"/>
  <c r="BC140" i="1"/>
  <c r="AV127" i="1"/>
  <c r="BC127" i="1"/>
  <c r="AV37" i="1"/>
  <c r="BC37" i="1"/>
  <c r="AV93" i="1"/>
  <c r="BC93" i="1"/>
  <c r="AV65" i="1"/>
  <c r="BC65" i="1"/>
  <c r="AV44" i="1"/>
  <c r="BC44" i="1"/>
  <c r="M151" i="1"/>
  <c r="K21" i="2"/>
  <c r="K220" i="2"/>
  <c r="K180" i="2"/>
  <c r="K172" i="2"/>
  <c r="K166" i="2"/>
  <c r="K184" i="2"/>
  <c r="K219" i="2"/>
  <c r="K212" i="2"/>
  <c r="K169" i="2"/>
  <c r="K158" i="2"/>
  <c r="K151" i="2"/>
  <c r="K143" i="2"/>
  <c r="I76" i="2"/>
  <c r="M59" i="1"/>
  <c r="K177" i="2"/>
  <c r="K191" i="2"/>
  <c r="BC115" i="1"/>
  <c r="I154" i="2"/>
  <c r="K154" i="2"/>
  <c r="I144" i="2"/>
  <c r="K144" i="2"/>
  <c r="AV98" i="1"/>
  <c r="BC98" i="1"/>
  <c r="AV71" i="1"/>
  <c r="BC71" i="1"/>
  <c r="AV47" i="1"/>
  <c r="BC47" i="1"/>
  <c r="BC117" i="1"/>
  <c r="AV117" i="1"/>
  <c r="AV202" i="1"/>
  <c r="BC202" i="1"/>
  <c r="AV216" i="1"/>
  <c r="BC216" i="1"/>
  <c r="K84" i="2"/>
  <c r="J151" i="1"/>
  <c r="D23" i="3" s="1"/>
  <c r="K19" i="2"/>
  <c r="C16" i="4"/>
  <c r="BC106" i="1"/>
  <c r="I213" i="2"/>
  <c r="K213" i="2"/>
  <c r="AV104" i="1"/>
  <c r="BC104" i="1"/>
  <c r="AV112" i="1"/>
  <c r="BC112" i="1"/>
  <c r="BC123" i="1"/>
  <c r="AV123" i="1"/>
  <c r="AV77" i="1"/>
  <c r="BC77" i="1"/>
  <c r="AV50" i="1"/>
  <c r="BC50" i="1"/>
  <c r="BC148" i="1"/>
  <c r="AV148" i="1"/>
  <c r="AV192" i="1"/>
  <c r="BC192" i="1"/>
  <c r="J138" i="2"/>
  <c r="J156" i="2"/>
  <c r="K73" i="2"/>
  <c r="K132" i="2"/>
  <c r="K195" i="2"/>
  <c r="M131" i="1"/>
  <c r="K14" i="2"/>
  <c r="K12" i="2" s="1"/>
  <c r="J122" i="1"/>
  <c r="D20" i="3" s="1"/>
  <c r="K96" i="2" l="1"/>
  <c r="K221" i="2"/>
  <c r="K202" i="2"/>
  <c r="K129" i="2"/>
  <c r="I209" i="2"/>
  <c r="K125" i="2"/>
  <c r="K104" i="2"/>
  <c r="J11" i="2"/>
  <c r="C22" i="8"/>
  <c r="H35" i="9" s="1"/>
  <c r="I35" i="9" s="1"/>
  <c r="I36" i="9" s="1"/>
  <c r="I23" i="8" s="1"/>
  <c r="I25" i="4" s="1"/>
  <c r="I16" i="2"/>
  <c r="K12" i="1"/>
  <c r="E11" i="3" s="1"/>
  <c r="M12" i="1"/>
  <c r="C22" i="4"/>
  <c r="K175" i="2"/>
  <c r="K16" i="2"/>
  <c r="I138" i="2"/>
  <c r="K76" i="2"/>
  <c r="M231" i="1"/>
  <c r="K209" i="2"/>
  <c r="K138" i="2"/>
  <c r="J12" i="1"/>
  <c r="D11" i="3" s="1"/>
  <c r="K216" i="2"/>
  <c r="C27" i="6"/>
  <c r="K156" i="2"/>
  <c r="I11" i="2" l="1"/>
  <c r="H21" i="9"/>
  <c r="I21" i="9" s="1"/>
  <c r="I27" i="9" s="1"/>
  <c r="F29" i="9" s="1"/>
  <c r="K11" i="2"/>
  <c r="F27" i="6"/>
  <c r="I26" i="6"/>
  <c r="K243" i="2"/>
  <c r="I14" i="8" l="1"/>
  <c r="I22" i="8" s="1"/>
  <c r="C27" i="8" s="1"/>
  <c r="I27" i="6"/>
  <c r="I23" i="4" l="1"/>
  <c r="C29" i="4" s="1"/>
  <c r="I28" i="4" s="1"/>
  <c r="F27" i="8"/>
  <c r="I26" i="8"/>
  <c r="F29" i="4" l="1"/>
  <c r="I29" i="4" s="1"/>
  <c r="I27" i="8"/>
</calcChain>
</file>

<file path=xl/sharedStrings.xml><?xml version="1.0" encoding="utf-8"?>
<sst xmlns="http://schemas.openxmlformats.org/spreadsheetml/2006/main" count="4426" uniqueCount="818">
  <si>
    <t>Stavební rozpočet</t>
  </si>
  <si>
    <t>Název stavby:</t>
  </si>
  <si>
    <t>KD K-trio-Oprava sociálních zařízení a šaten</t>
  </si>
  <si>
    <t>Doba výstavby:</t>
  </si>
  <si>
    <t xml:space="preserve"> </t>
  </si>
  <si>
    <t>Objednatel:</t>
  </si>
  <si>
    <t> </t>
  </si>
  <si>
    <t>Druh stavby:</t>
  </si>
  <si>
    <t>Začátek výstavby:</t>
  </si>
  <si>
    <t>Projektant:</t>
  </si>
  <si>
    <t>Lokalita:</t>
  </si>
  <si>
    <t>Konec výstavby:</t>
  </si>
  <si>
    <t>Zhotovitel:</t>
  </si>
  <si>
    <t>JKSO:</t>
  </si>
  <si>
    <t>Zpracováno dne:</t>
  </si>
  <si>
    <t>Zpracoval:</t>
  </si>
  <si>
    <t>Č</t>
  </si>
  <si>
    <t>Objekt</t>
  </si>
  <si>
    <t>Kód</t>
  </si>
  <si>
    <t>Zkrácený popis / Varianta</t>
  </si>
  <si>
    <t>MJ</t>
  </si>
  <si>
    <t>Množství</t>
  </si>
  <si>
    <t>Cena/MJ</t>
  </si>
  <si>
    <t>Sazba DPH</t>
  </si>
  <si>
    <t>Náklady (Kč)</t>
  </si>
  <si>
    <t>Hmotnost (t)</t>
  </si>
  <si>
    <t>Cenová</t>
  </si>
  <si>
    <t>ISWORK</t>
  </si>
  <si>
    <t>GROUPCODE</t>
  </si>
  <si>
    <t>VATTAX</t>
  </si>
  <si>
    <t>Rozměry</t>
  </si>
  <si>
    <t>(Kč)</t>
  </si>
  <si>
    <t>Dodávka</t>
  </si>
  <si>
    <t>Montáž</t>
  </si>
  <si>
    <t>Celkem</t>
  </si>
  <si>
    <t>Celkem vč. DPH</t>
  </si>
  <si>
    <t>Jednot.</t>
  </si>
  <si>
    <t>soustava</t>
  </si>
  <si>
    <t>Přesuny</t>
  </si>
  <si>
    <t>Typ skupiny</t>
  </si>
  <si>
    <t>HSV mat</t>
  </si>
  <si>
    <t>HSV prac</t>
  </si>
  <si>
    <t>PSV mat</t>
  </si>
  <si>
    <t>PSV prac</t>
  </si>
  <si>
    <t>Mont mat</t>
  </si>
  <si>
    <t>Mont prac</t>
  </si>
  <si>
    <t>Ostatní mat.</t>
  </si>
  <si>
    <t>MAT</t>
  </si>
  <si>
    <t>WORK</t>
  </si>
  <si>
    <t>CELK</t>
  </si>
  <si>
    <t/>
  </si>
  <si>
    <t>SO 02</t>
  </si>
  <si>
    <t>Sociální zařízení</t>
  </si>
  <si>
    <t>31</t>
  </si>
  <si>
    <t>Zdi podpěrné a volné</t>
  </si>
  <si>
    <t>1</t>
  </si>
  <si>
    <t>317121101R00</t>
  </si>
  <si>
    <t>Osazení překladu světlost otvoru do 105 cm</t>
  </si>
  <si>
    <t>kus</t>
  </si>
  <si>
    <t>21</t>
  </si>
  <si>
    <t>RTS II / 2024</t>
  </si>
  <si>
    <t>31_</t>
  </si>
  <si>
    <t>SO 02_3_</t>
  </si>
  <si>
    <t>SO 02_</t>
  </si>
  <si>
    <t>2</t>
  </si>
  <si>
    <t>317941111RA01</t>
  </si>
  <si>
    <t>Překlad z nosníků U č. 100, dl.1,2 m, zdivo 150 mm</t>
  </si>
  <si>
    <t>vlastní</t>
  </si>
  <si>
    <t>3</t>
  </si>
  <si>
    <t>317941111RA02</t>
  </si>
  <si>
    <t>Překlad z nosníků I č. 100, dl.1,2 m, zdivo 150 mm</t>
  </si>
  <si>
    <t>96</t>
  </si>
  <si>
    <t>Bourání konstrukcí</t>
  </si>
  <si>
    <t>4</t>
  </si>
  <si>
    <t>968061125R00</t>
  </si>
  <si>
    <t>Vyvěšení dřevěných a plastových dveřních křídel pl. do 2 m2</t>
  </si>
  <si>
    <t>96_</t>
  </si>
  <si>
    <t>SO 02_9_</t>
  </si>
  <si>
    <t>RTS komentář:</t>
  </si>
  <si>
    <t>Položka obsahuje náklady na vyvěšení křídel, jejich uložení a zpětné zavěšení po provedených stavebních úpravách. Položka se používá i pro vyvěšení křídel určených k likvidaci</t>
  </si>
  <si>
    <t>5</t>
  </si>
  <si>
    <t>968062455R00</t>
  </si>
  <si>
    <t>Vybourání dřevěných dveřních zárubní pl. do 2 m2</t>
  </si>
  <si>
    <t>m2</t>
  </si>
  <si>
    <t>6</t>
  </si>
  <si>
    <t>968072455R00</t>
  </si>
  <si>
    <t>Vybourání kovových dveřních zárubní pl. do 2 m2</t>
  </si>
  <si>
    <t>7</t>
  </si>
  <si>
    <t>967031142R00</t>
  </si>
  <si>
    <t>Přisekání rovných ostění cihelných na MC</t>
  </si>
  <si>
    <t>8</t>
  </si>
  <si>
    <t>963016211R00</t>
  </si>
  <si>
    <t>Demontáž podhledu SDK z kazet 600x600 mm, kov.rošt</t>
  </si>
  <si>
    <t>Demontáž podhledu sádrokartonového z kazet 600x600 mm, s kovovým roštem, bez minerální izolace.</t>
  </si>
  <si>
    <t>9</t>
  </si>
  <si>
    <t>965081713RT1</t>
  </si>
  <si>
    <t>Bourání dlažeb keramických tl.10 mm, nad 1 m2</t>
  </si>
  <si>
    <t>Varianta:</t>
  </si>
  <si>
    <t>ručně, dlaždice keramické</t>
  </si>
  <si>
    <t>10</t>
  </si>
  <si>
    <t>965048250R00</t>
  </si>
  <si>
    <t>Dočištění povrchu po vybourání dlažeb, MC do 50%</t>
  </si>
  <si>
    <t>11</t>
  </si>
  <si>
    <t>978500010RA0</t>
  </si>
  <si>
    <t>Odsekání vnitřních obkladů</t>
  </si>
  <si>
    <t>12</t>
  </si>
  <si>
    <t>970231150R00</t>
  </si>
  <si>
    <t>Řezání cihelného zdiva hl. řezu 150 mm</t>
  </si>
  <si>
    <t>m</t>
  </si>
  <si>
    <t>13</t>
  </si>
  <si>
    <t>962031145R00</t>
  </si>
  <si>
    <t>Bourání příček z tvárnic pórobetonových tl. 150 mm</t>
  </si>
  <si>
    <t>14</t>
  </si>
  <si>
    <t>970051130R00</t>
  </si>
  <si>
    <t>Vrtání jádrové do ŽB do D 130 mm</t>
  </si>
  <si>
    <t>15</t>
  </si>
  <si>
    <t>974031144R00</t>
  </si>
  <si>
    <t>Vysekání rýh ve zdi cihelné 7 x 15 cm</t>
  </si>
  <si>
    <t>16</t>
  </si>
  <si>
    <t>971033631R00</t>
  </si>
  <si>
    <t>Vybourání otv. zeď cihel. pl.4 m2, tl.15 cm, MVC</t>
  </si>
  <si>
    <t>V položce není kalkulována manipulace se sutí, která se oceňuje samostatně položkami souboru 979</t>
  </si>
  <si>
    <t>17</t>
  </si>
  <si>
    <t>973031151R00</t>
  </si>
  <si>
    <t>Vysekání výklenků zeď cihel. MVC, pl. nad 0,25 m2</t>
  </si>
  <si>
    <t>m3</t>
  </si>
  <si>
    <t>18</t>
  </si>
  <si>
    <t>R001</t>
  </si>
  <si>
    <t>Demontáž zrcadel</t>
  </si>
  <si>
    <t>19</t>
  </si>
  <si>
    <t>767137801R00</t>
  </si>
  <si>
    <t>Demontáž roštu lehkých montovaných příček</t>
  </si>
  <si>
    <t>20</t>
  </si>
  <si>
    <t>767137803R00</t>
  </si>
  <si>
    <t>Demontáž desek opláštění lehkých montovaných příček, do suti</t>
  </si>
  <si>
    <t>725290020RA0</t>
  </si>
  <si>
    <t>Demontáž umyvadla včetně baterie a konzol</t>
  </si>
  <si>
    <t>22</t>
  </si>
  <si>
    <t>725110814R001</t>
  </si>
  <si>
    <t>Demontáž desek umyvadlových</t>
  </si>
  <si>
    <t>soubor</t>
  </si>
  <si>
    <t>231-4x0,7; 232-3x0,7</t>
  </si>
  <si>
    <t>23</t>
  </si>
  <si>
    <t>728415814R00</t>
  </si>
  <si>
    <t>Demontáž mřížky větrací nebo ventilační do 0,20 m2</t>
  </si>
  <si>
    <t>24</t>
  </si>
  <si>
    <t>725110814R00</t>
  </si>
  <si>
    <t>Demontáž klozetů kombinovaných</t>
  </si>
  <si>
    <t>25</t>
  </si>
  <si>
    <t>725230811R001</t>
  </si>
  <si>
    <t>Demontáž bidetů</t>
  </si>
  <si>
    <t>26</t>
  </si>
  <si>
    <t>725130814R00</t>
  </si>
  <si>
    <t>Demontáž pisoárové nádrže + 4 stání</t>
  </si>
  <si>
    <t>27</t>
  </si>
  <si>
    <t>725290020RA01</t>
  </si>
  <si>
    <t>Demontáž příčky mezi pisoáry</t>
  </si>
  <si>
    <t>28</t>
  </si>
  <si>
    <t>735151821R00</t>
  </si>
  <si>
    <t>Demontáž otopných těles panelových dvouřadých, délky do 1500 mm</t>
  </si>
  <si>
    <t>29</t>
  </si>
  <si>
    <t>735151821R002</t>
  </si>
  <si>
    <t>Demontáž madel nerezových</t>
  </si>
  <si>
    <t>30</t>
  </si>
  <si>
    <t>979082111R00</t>
  </si>
  <si>
    <t>Vnitrostaveništní doprava suti do 10 m</t>
  </si>
  <si>
    <t>t</t>
  </si>
  <si>
    <t>979082121R00</t>
  </si>
  <si>
    <t>Příplatek k vnitrost. dopravě suti za dalších 5 m</t>
  </si>
  <si>
    <t>32</t>
  </si>
  <si>
    <t>979086112R00</t>
  </si>
  <si>
    <t>Nakládání nebo překládání suti a vybouraných hmot</t>
  </si>
  <si>
    <t>33</t>
  </si>
  <si>
    <t>979081111R00</t>
  </si>
  <si>
    <t>Odvoz suti a vybour. hmot na skládku do 1 km</t>
  </si>
  <si>
    <t>34</t>
  </si>
  <si>
    <t>979081121R00</t>
  </si>
  <si>
    <t>Příplatek k odvozu za každý další 1 km</t>
  </si>
  <si>
    <t>35</t>
  </si>
  <si>
    <t>979999984R00</t>
  </si>
  <si>
    <t>Poplatek za recyklaci - tašky, keramika, do 1600 cm2 (skup.170103)</t>
  </si>
  <si>
    <t>36</t>
  </si>
  <si>
    <t>979999985R00</t>
  </si>
  <si>
    <t>Poplatek za recyklaci pórobetonu (skup.170102)</t>
  </si>
  <si>
    <t>37</t>
  </si>
  <si>
    <t>979999997R00</t>
  </si>
  <si>
    <t>Poplatek za recyklaci směsi suti betonu, cihel, tašek a keram.výrobků, kusovost do 1600 cm2 (170107)</t>
  </si>
  <si>
    <t>38</t>
  </si>
  <si>
    <t>979990110R00</t>
  </si>
  <si>
    <t>Poplatek za uložení suti - sádrokartonové desky, skupina odpadu 170802</t>
  </si>
  <si>
    <t>R1</t>
  </si>
  <si>
    <t>Interiér</t>
  </si>
  <si>
    <t>39</t>
  </si>
  <si>
    <t>725291123R00</t>
  </si>
  <si>
    <t>D+M Madlo rovné nerez dl. 500 mm</t>
  </si>
  <si>
    <t>R1_</t>
  </si>
  <si>
    <t>40</t>
  </si>
  <si>
    <t>725291146R00</t>
  </si>
  <si>
    <t>D+M Madlo dvojité sklopné nerez dl. 800 mm</t>
  </si>
  <si>
    <t>41</t>
  </si>
  <si>
    <t>725291142R00</t>
  </si>
  <si>
    <t>Madlo dvojité pevné nerez dl. 900 mm</t>
  </si>
  <si>
    <t>42</t>
  </si>
  <si>
    <t>RI0</t>
  </si>
  <si>
    <t>D+M Nerezový závěsný WC kartáč</t>
  </si>
  <si>
    <t>"kompletní provedení dle specifikace PD a TZ vč. všech souvisejících prací a dodávek"</t>
  </si>
  <si>
    <t>43</t>
  </si>
  <si>
    <t>RI1</t>
  </si>
  <si>
    <t>D+M Nerezový zásobník toaletního papíru, pro roli 190x100</t>
  </si>
  <si>
    <t>44</t>
  </si>
  <si>
    <t>RI2</t>
  </si>
  <si>
    <t>D+M Nerezový zásobník hyg.sáčků 92x150</t>
  </si>
  <si>
    <t>45</t>
  </si>
  <si>
    <t>RI3</t>
  </si>
  <si>
    <t>D+M Nerezový závěsný odpadkový koš s poklopem 197x98x253</t>
  </si>
  <si>
    <t>46</t>
  </si>
  <si>
    <t>RI4</t>
  </si>
  <si>
    <t>D+M Nerezový piktogram 120x120</t>
  </si>
  <si>
    <t>47</t>
  </si>
  <si>
    <t>RI5</t>
  </si>
  <si>
    <t>D+M Zrcadlo v dřevodekoru Z/1</t>
  </si>
  <si>
    <t>48</t>
  </si>
  <si>
    <t>RI6</t>
  </si>
  <si>
    <t>D+M Krycí čelní deska pod umyvadlo-Z/1</t>
  </si>
  <si>
    <t>49</t>
  </si>
  <si>
    <t>RI7</t>
  </si>
  <si>
    <t>D+M Zrcadlo v dřevodekoru-Z/2</t>
  </si>
  <si>
    <t>50</t>
  </si>
  <si>
    <t>RI8</t>
  </si>
  <si>
    <t>D+M Krycí čelní deska a boční desky pod umyvadlo-Z/2</t>
  </si>
  <si>
    <t>51</t>
  </si>
  <si>
    <t>RI9</t>
  </si>
  <si>
    <t>D+M Zrcadlo zapuštěné Z/3</t>
  </si>
  <si>
    <t>52</t>
  </si>
  <si>
    <t>RI10</t>
  </si>
  <si>
    <t>D+M Zrcadlo v dřevodekoru Z/4</t>
  </si>
  <si>
    <t>53</t>
  </si>
  <si>
    <t>RI11</t>
  </si>
  <si>
    <t>D+M Zrcadlo pro imobilní Z/5 minimálně 3000Kč</t>
  </si>
  <si>
    <t>54</t>
  </si>
  <si>
    <t>D+M Deska umyvadlová z umělého kamene D/1</t>
  </si>
  <si>
    <t>55</t>
  </si>
  <si>
    <t>RI12</t>
  </si>
  <si>
    <t>D+M Deska umyvadlová z umělého kamene D/2</t>
  </si>
  <si>
    <t>M65</t>
  </si>
  <si>
    <t>Elektroinstalace</t>
  </si>
  <si>
    <t>56</t>
  </si>
  <si>
    <t>R00</t>
  </si>
  <si>
    <t>Elektroinstalace viz.samostaný rozpočet</t>
  </si>
  <si>
    <t>M65_</t>
  </si>
  <si>
    <t>Stěny a příčky</t>
  </si>
  <si>
    <t>57</t>
  </si>
  <si>
    <t>342254811R00</t>
  </si>
  <si>
    <t>Příčky z desek pórobetonových tl. 150 mm</t>
  </si>
  <si>
    <t>34_</t>
  </si>
  <si>
    <t>V položce jsou zakalkulovány i náklady na pomocné lešení o výšce podlahy do 1900 mm a pro zatížení do 1,5 kP</t>
  </si>
  <si>
    <t>58</t>
  </si>
  <si>
    <t>340271610R00</t>
  </si>
  <si>
    <t>Zazdívka otvorů pl.do 4 m2, pórobet.tvár.,tl.10 cm</t>
  </si>
  <si>
    <t>59</t>
  </si>
  <si>
    <t>340271615R00</t>
  </si>
  <si>
    <t>Zazdívka otvorů pl.do 4 m2, pórobet.tvár.,tl.15 cm</t>
  </si>
  <si>
    <t>V položce jsou zakalkulovány náklady na pomocné pracovní lešení o výšce podlahy do 1900 mm a pro zatížení do 1,5 kPa</t>
  </si>
  <si>
    <t>60</t>
  </si>
  <si>
    <t>347016231R00</t>
  </si>
  <si>
    <t>Předstěna SDK, tl. 125 mm, ocel. kce CW, 2x RB 12,5 mm, bez izolace</t>
  </si>
  <si>
    <t>61</t>
  </si>
  <si>
    <t>998011001R00</t>
  </si>
  <si>
    <t>Přesun hmot pro budovy zděné výšky do 6 m</t>
  </si>
  <si>
    <t>Stropy a stropní konstrukce (pro pozemní stavby)</t>
  </si>
  <si>
    <t>62</t>
  </si>
  <si>
    <t>416061521R00</t>
  </si>
  <si>
    <t>D+M Kazetový akustický podhled na zavěšeném roštu,hrana E15,s izol.tl.80 mm</t>
  </si>
  <si>
    <t>41_</t>
  </si>
  <si>
    <t>SO 02_4_</t>
  </si>
  <si>
    <t xml:space="preserve">Demontovatelné kazetový akustický podhled, s minerální izolací, kazeta akustická, hrana E15, tl. 12,5mm  </t>
  </si>
  <si>
    <t>63</t>
  </si>
  <si>
    <t>RO002</t>
  </si>
  <si>
    <t>Zpětná montáž SDK kazet 600x600 restaurace</t>
  </si>
  <si>
    <t>64</t>
  </si>
  <si>
    <t>416091082R00</t>
  </si>
  <si>
    <t>Příplatek k podhledu sádrokart. za plochu do 5 m2</t>
  </si>
  <si>
    <t>Příplatek je určen k položkám podhledů sádrokartonových na dřevěnou i ocelovou konstrukci. V položce je zakalkulován rozdíl v pracnosti při provádění podhledů v malých plochách do 5 m2</t>
  </si>
  <si>
    <t>65</t>
  </si>
  <si>
    <t>416091083R00</t>
  </si>
  <si>
    <t>Příplatek k podhledu sádrokart. za plochu do 10 m2</t>
  </si>
  <si>
    <t>Příplatek je určen k položkám podhledů sádrokartonových na dřevěnou i ocelovou konstrukci. V položce je zakalkulován rozdíl v pracnosti při provádění podhledů v malých plochách do 10 m2</t>
  </si>
  <si>
    <t>66</t>
  </si>
  <si>
    <t>Úprava povrchů vnitřní</t>
  </si>
  <si>
    <t>67</t>
  </si>
  <si>
    <t>612481211RT2</t>
  </si>
  <si>
    <t>Montáž výztužné sítě(perlinky)do stěrky-vnit.stěny</t>
  </si>
  <si>
    <t>61_</t>
  </si>
  <si>
    <t>SO 02_6_</t>
  </si>
  <si>
    <t>materiál včetně výztužné sítě a stěrkového tmelu</t>
  </si>
  <si>
    <t>68</t>
  </si>
  <si>
    <t>615481211RT8</t>
  </si>
  <si>
    <t>Montáž výztužné sítě (perlinky) do stěrky na nosníky a překlady</t>
  </si>
  <si>
    <t>včetně výztužné sítě a stěrkového tmelu</t>
  </si>
  <si>
    <t>Položka obsahuje natažení stěrkového tmelu, vtlačení výztužné sítě a rozetření tmelu. Položka neobsahuje dodávku tmelu ani sítě</t>
  </si>
  <si>
    <t>69</t>
  </si>
  <si>
    <t>612403386RT1</t>
  </si>
  <si>
    <t>Hrubá výplň rýh ve stěnách do 10x10cm maltou z SMS</t>
  </si>
  <si>
    <t>zdicí maltou</t>
  </si>
  <si>
    <t>70</t>
  </si>
  <si>
    <t>Podlahy a podlahové konstrukce</t>
  </si>
  <si>
    <t>71</t>
  </si>
  <si>
    <t>771101116R00</t>
  </si>
  <si>
    <t>Vyrovnání podkladů samonivelační hmotou tloušťky do 30 mm</t>
  </si>
  <si>
    <t>63_</t>
  </si>
  <si>
    <t>72</t>
  </si>
  <si>
    <t>632419115R00</t>
  </si>
  <si>
    <t>Samonivelační stěrka PCI, ruční zpracování tl. 15 mm</t>
  </si>
  <si>
    <t>73</t>
  </si>
  <si>
    <t>711</t>
  </si>
  <si>
    <t>Izolace proti vodě</t>
  </si>
  <si>
    <t>74</t>
  </si>
  <si>
    <t>711212111RT11</t>
  </si>
  <si>
    <t>Penetrace podkladu nátěrem</t>
  </si>
  <si>
    <t>711_</t>
  </si>
  <si>
    <t>SO 02_71_</t>
  </si>
  <si>
    <t>včetně materiálu</t>
  </si>
  <si>
    <t>75</t>
  </si>
  <si>
    <t>711212002RT3</t>
  </si>
  <si>
    <t>Stěrka hydroizolační, vč. dodávky HI hmoty</t>
  </si>
  <si>
    <t xml:space="preserve"> tl. 2 mm</t>
  </si>
  <si>
    <t>76</t>
  </si>
  <si>
    <t>998711101R00</t>
  </si>
  <si>
    <t>Přesun hmot pro izolace proti vodě, výšky do 6 m</t>
  </si>
  <si>
    <t>713</t>
  </si>
  <si>
    <t>Izolace tepelné</t>
  </si>
  <si>
    <t>77</t>
  </si>
  <si>
    <t>713552111R00</t>
  </si>
  <si>
    <t>Protipožární trubní ucpávka, ve stěně, požární odolnost EI 120, průměr do D 25 mm</t>
  </si>
  <si>
    <t>713_</t>
  </si>
  <si>
    <t xml:space="preserve">Prostup plastového potrubí max. průměru 25 mm otvorem max. průměru 75 mm v lehké příčce nebo masívní stěně tl. min. 100 mm s požární odolností EI 120.Otvor je utěsněn minerální vlnou, prostup i potrubí před a za prostupem je opatřeno protipožární stěrkou </t>
  </si>
  <si>
    <t>721</t>
  </si>
  <si>
    <t>Vnitřní kanalizace</t>
  </si>
  <si>
    <t>78</t>
  </si>
  <si>
    <t>721176114R00</t>
  </si>
  <si>
    <t>Potrubí HT odpadní svislé, D 75 x 1,9 mm</t>
  </si>
  <si>
    <t>721_</t>
  </si>
  <si>
    <t>SO 02_72_</t>
  </si>
  <si>
    <t>79</t>
  </si>
  <si>
    <t>721176103R00</t>
  </si>
  <si>
    <t>Potrubí HT připojovací, D 50 x 1,8 mm</t>
  </si>
  <si>
    <t>80</t>
  </si>
  <si>
    <t>721176102R00</t>
  </si>
  <si>
    <t>Potrubí HT připojovací, D 40 x 1,8 mm</t>
  </si>
  <si>
    <t>81</t>
  </si>
  <si>
    <t>721176105R00</t>
  </si>
  <si>
    <t>Potrubí HT připojovací, D 110 x 2,7 mm</t>
  </si>
  <si>
    <t>82</t>
  </si>
  <si>
    <t>721153310R00</t>
  </si>
  <si>
    <t>Potrubí Geberit Silent - db20 - připojovací, D 110 x 6 mm</t>
  </si>
  <si>
    <t>Položka je určena pro potrubí z trub Geberit - db 20 - zvukově izolované</t>
  </si>
  <si>
    <t>83</t>
  </si>
  <si>
    <t>725249102R001</t>
  </si>
  <si>
    <t>Spojovací materiál</t>
  </si>
  <si>
    <t>Odbočky,přechodky, kolena, redukce, záslepky</t>
  </si>
  <si>
    <t>84</t>
  </si>
  <si>
    <t>721194104R00</t>
  </si>
  <si>
    <t>Vyvedení odpadních výpustek, D 40 x 1,8 mm</t>
  </si>
  <si>
    <t>85</t>
  </si>
  <si>
    <t>721194105R00</t>
  </si>
  <si>
    <t>Vyvedení odpadních výpustek, D 50 x 1,8 mm</t>
  </si>
  <si>
    <t>86</t>
  </si>
  <si>
    <t>721194109R00</t>
  </si>
  <si>
    <t>Vyvedení odpadních výpustek, D 110 x 2,3 mm</t>
  </si>
  <si>
    <t>87</t>
  </si>
  <si>
    <t>721223422RT11</t>
  </si>
  <si>
    <t>Vpusť podlahová přímá se zápachovou uzávěrkou DN110, nerez mřížka</t>
  </si>
  <si>
    <t>mřížka 115 x 115 mm, automatické uzavření plováku bez vody</t>
  </si>
  <si>
    <t>88</t>
  </si>
  <si>
    <t>721170955R00</t>
  </si>
  <si>
    <t>Provedení opravy vnitřní kanalizace, potrubí plastové, vsazení odbočky, potrubí hrdlové, D 110 mm</t>
  </si>
  <si>
    <t>89</t>
  </si>
  <si>
    <t>721170953R00</t>
  </si>
  <si>
    <t>Provedení opravy vnitřní kanalizace, potrubí plastové, vsazení odbočky, potrubí hrdlové, D 75 mm</t>
  </si>
  <si>
    <t>90</t>
  </si>
  <si>
    <t>721171803R00</t>
  </si>
  <si>
    <t>Demontáž potrubí z PVC do D 75 mm</t>
  </si>
  <si>
    <t>91</t>
  </si>
  <si>
    <t>892561111R00</t>
  </si>
  <si>
    <t>Zkouška těsnosti kanalizace DN do 125, vodou</t>
  </si>
  <si>
    <t>V položce jsou zakalkulovány náklady na napuštění vodou a dodání vody pro zkoušku těsnosti</t>
  </si>
  <si>
    <t>92</t>
  </si>
  <si>
    <t>998721101R00</t>
  </si>
  <si>
    <t>Přesun hmot pro vnitřní kanalizaci, výšky do 6 m</t>
  </si>
  <si>
    <t>722</t>
  </si>
  <si>
    <t>Vnitřní vodovod</t>
  </si>
  <si>
    <t>93</t>
  </si>
  <si>
    <t>722161924R00</t>
  </si>
  <si>
    <t>Vsazení odbočky do stávajícího vodovodního měděného potrubí D 22 mm</t>
  </si>
  <si>
    <t>722_</t>
  </si>
  <si>
    <t>94</t>
  </si>
  <si>
    <t>722161925R00</t>
  </si>
  <si>
    <t>Vsazení odbočky do stávajícího vodovodního měděného potrubí D 28 mm</t>
  </si>
  <si>
    <t>95</t>
  </si>
  <si>
    <t>722172312R00</t>
  </si>
  <si>
    <t>Potrubí plastové PP-R , včetně zednických výpomocí, D 25 x 3,5 mm, PN 16</t>
  </si>
  <si>
    <t>722172311R00</t>
  </si>
  <si>
    <t>Potrubí plastové PP-R, včetně zednických výpomocí, D 20 x 2,8 mm, PN 16</t>
  </si>
  <si>
    <t>97</t>
  </si>
  <si>
    <t>722181211RT6</t>
  </si>
  <si>
    <t>Izolace návleková tl. stěny 6 mm</t>
  </si>
  <si>
    <t>vnitřní průměr 18 mm</t>
  </si>
  <si>
    <t>98</t>
  </si>
  <si>
    <t>722191112R00</t>
  </si>
  <si>
    <t>Hadice flexibilní k baterii , DN 15 mm, délka 500 mm</t>
  </si>
  <si>
    <t>99</t>
  </si>
  <si>
    <t>722280106R001</t>
  </si>
  <si>
    <t>Tlaková zkouška vodovodního potrubí do DN 32 mm</t>
  </si>
  <si>
    <t>100</t>
  </si>
  <si>
    <t>722290234R00</t>
  </si>
  <si>
    <t>Proplach a dezinfekce vodovodního potrubí DN 80 mm</t>
  </si>
  <si>
    <t>101</t>
  </si>
  <si>
    <t>722130901R00</t>
  </si>
  <si>
    <t>Zazátkování vývodu</t>
  </si>
  <si>
    <t>102</t>
  </si>
  <si>
    <t>722202212R00</t>
  </si>
  <si>
    <t>Nástěnka PP-R , D 16 mm x R 1/2"</t>
  </si>
  <si>
    <t>103</t>
  </si>
  <si>
    <t>722160811R00</t>
  </si>
  <si>
    <t>Demontáž potrubí z měděných trubek do D 28 mm</t>
  </si>
  <si>
    <t>104</t>
  </si>
  <si>
    <t>722241100R001</t>
  </si>
  <si>
    <t>105</t>
  </si>
  <si>
    <t>998722101R00</t>
  </si>
  <si>
    <t>Přesun hmot pro vnitřní vodovod, výšky do 6 m</t>
  </si>
  <si>
    <t>725</t>
  </si>
  <si>
    <t>Zařizovací předměty</t>
  </si>
  <si>
    <t>106</t>
  </si>
  <si>
    <t>725829301R00</t>
  </si>
  <si>
    <t>Montáž baterie umyvadlové a dřezové stojánkové</t>
  </si>
  <si>
    <t>725_</t>
  </si>
  <si>
    <t>107</t>
  </si>
  <si>
    <t>725823633R001</t>
  </si>
  <si>
    <t>D+M Baterie automatická senzorová umyvadlová stojánková s vysoušečem rukou, minimální cena 13000Kč/m2</t>
  </si>
  <si>
    <t>automaticý infračervený senzor, termostatický směšovací ventil,automatický ohřev vzuchu,
příkon vysoušeče rukou 1200W, vysoušeč s hepa filtrem</t>
  </si>
  <si>
    <t>108</t>
  </si>
  <si>
    <t>725823111R00</t>
  </si>
  <si>
    <t>Baterie umyvadlová stojánková, ruční, bez otvírání odpadu</t>
  </si>
  <si>
    <t>109</t>
  </si>
  <si>
    <t>725219201R001</t>
  </si>
  <si>
    <t>Montáž umyvadel pod desku</t>
  </si>
  <si>
    <t>110</t>
  </si>
  <si>
    <t>642153641</t>
  </si>
  <si>
    <t>Umyvadlo keramické instalace pod desku bez otvoru pro baterii 510 x 380 mm</t>
  </si>
  <si>
    <t>bílé zdola pod desku, bez otvoru pro baterii, bez přepadu</t>
  </si>
  <si>
    <t>111</t>
  </si>
  <si>
    <t>725219401R00</t>
  </si>
  <si>
    <t>Montáž umyvadel na šrouby do zdiva</t>
  </si>
  <si>
    <t>112</t>
  </si>
  <si>
    <t>64221352</t>
  </si>
  <si>
    <t>Umývátko keramické s otvorem pro baterii vlevo 350 x 180 mm</t>
  </si>
  <si>
    <t>Závěsné asymetrické hranaté umývátko bez přepadu bílé, otvor pro baterii vlevo, upevnění na šrouby</t>
  </si>
  <si>
    <t>113</t>
  </si>
  <si>
    <t>6421448411</t>
  </si>
  <si>
    <t>Umyvadlo keramické zdravotní 650 x 550 mm, otvor pro baterii,</t>
  </si>
  <si>
    <t>1 otvor pro baterii uprostřed  Vodu odpuzující povrchová úprava</t>
  </si>
  <si>
    <t>114</t>
  </si>
  <si>
    <t>725860251R00</t>
  </si>
  <si>
    <t>Sifon umyvadlový chromovaný Raf SV1410</t>
  </si>
  <si>
    <t>115</t>
  </si>
  <si>
    <t>725119306R00</t>
  </si>
  <si>
    <t>Montáž klozetu závěsného</t>
  </si>
  <si>
    <t>116</t>
  </si>
  <si>
    <t>725292044R0012</t>
  </si>
  <si>
    <t>Automatický centrální nástěnný dávkovač tekutého mýdla, nerezová ramínka 3ks</t>
  </si>
  <si>
    <t>117</t>
  </si>
  <si>
    <t>725014163R001</t>
  </si>
  <si>
    <t>Klozet závěsný včetně sedátka, hl. 540 mm, minimální cena 6000Kč</t>
  </si>
  <si>
    <t>sedátko s pomalým doběhem</t>
  </si>
  <si>
    <t>118</t>
  </si>
  <si>
    <t>725119305R00</t>
  </si>
  <si>
    <t>Montáž klozetových mís kombinovaných</t>
  </si>
  <si>
    <t>119</t>
  </si>
  <si>
    <t>725100006RA01</t>
  </si>
  <si>
    <t>Klozet kombi pro invalidy vč.sedátka s pomalým doběhem</t>
  </si>
  <si>
    <t>120</t>
  </si>
  <si>
    <t>725139101R00</t>
  </si>
  <si>
    <t>Montáž pisoárových stání ostatních</t>
  </si>
  <si>
    <t>121</t>
  </si>
  <si>
    <t>642513381</t>
  </si>
  <si>
    <t>Pisoár keramický s radarovým splachovačem a integrovaným zdrojem, 230 V AC</t>
  </si>
  <si>
    <t xml:space="preserve">SPECIFIKACE DODÁVKY - keramický pisoár s radarovým splachovačem na montážní liště, elektromagnetický ventil, propojovací hadice, rohový ventil s filtrem a zpětnou klapkou, vtoková armatura s těsněním, sifon, úchytová sada, montážní šablona, napájecí zdroj  úsporné splachování jedním litrem vody jednoduchá montáž podle montážní šablony celý splachovací systém je umístěný za pisoárem reaguje pouze na použití pisoáru (vyhodnocuje změny, ke kterým dochází uvnitř pisoáru při průtoku kapaliny) doba splachování je nastavitelná od 0,5 do 15,5 sekundy nastavení parametrů pomocí dálkového ovladače SLD 04 bez nutnosti demontáže pisoáru (akustická indikace nastavování) samočinné spláchnutí po 6 hodinách od posledního sepnutí ventilu možnost regulace průtoku vody kulovým ventilem po spláchnutí provede splachovač krátké doplnění vody do sifonu  napájení: 230V AC umístění: za pisoárem splachovač: včetně pisoáru ovládání: radarové Napájecí napětí: 230 V AC/50 Hz Doporučený pracovní tlak: 0,1 - 0,6 MPa Průtok: 18 l/min (inf. údaj) Vstup vody: vnější závit G 1/2“ Výstup vody: vtoková armatura s těsněním  </t>
  </si>
  <si>
    <t>122</t>
  </si>
  <si>
    <t>RI</t>
  </si>
  <si>
    <t>D+M Pisoárová dělící stěna</t>
  </si>
  <si>
    <t>Laminovaná dřevotřísková deska HPL tl.25mm,barevnost dřevodekoru dle objednatele, kotvetní na stěnu nerez</t>
  </si>
  <si>
    <t>123</t>
  </si>
  <si>
    <t>725941150R00</t>
  </si>
  <si>
    <t>Sanitární dělící stěny</t>
  </si>
  <si>
    <t>Sanitání dělící z laminované dřevotřísky s povrchem HPL t.25mm, hrana ABS 2mm, Kovový nosný systém,
výška nožiček 150mm, laminát v barvě dřevodekoru, kliky, kování nerez, včetně dveří P/3; L/3</t>
  </si>
  <si>
    <t>726</t>
  </si>
  <si>
    <t>Instalační prefabrikáty</t>
  </si>
  <si>
    <t>124</t>
  </si>
  <si>
    <t>726211321R00</t>
  </si>
  <si>
    <t>Modul pro závěsné WC , h. 1120 mm</t>
  </si>
  <si>
    <t>726_</t>
  </si>
  <si>
    <t>728</t>
  </si>
  <si>
    <t>Vzduchotechnika</t>
  </si>
  <si>
    <t>125</t>
  </si>
  <si>
    <t>Vzduchotechnika viz.samostaný rozpočet</t>
  </si>
  <si>
    <t>728_</t>
  </si>
  <si>
    <t>735</t>
  </si>
  <si>
    <t>Otopná tělesa</t>
  </si>
  <si>
    <t>126</t>
  </si>
  <si>
    <t>733164102R00</t>
  </si>
  <si>
    <t>Montáž potrubí z měděných trubek vytápění D 15 mm</t>
  </si>
  <si>
    <t>735_</t>
  </si>
  <si>
    <t>SO 02_73_</t>
  </si>
  <si>
    <t>127</t>
  </si>
  <si>
    <t>733163102R00</t>
  </si>
  <si>
    <t>Potrubí z měděných trubek vytápění D 15 x 1,0 mm</t>
  </si>
  <si>
    <t>128</t>
  </si>
  <si>
    <t>733166002R00</t>
  </si>
  <si>
    <t>Zhotov.ohybu jednoduch.na potrubí Cu D 15,vytápění</t>
  </si>
  <si>
    <t>129</t>
  </si>
  <si>
    <t>735149004R00</t>
  </si>
  <si>
    <t>Montáž designových těles dvouřadých do délky 1600 mm</t>
  </si>
  <si>
    <t>Montážní položka pro tělesa typu Horizontal</t>
  </si>
  <si>
    <t>130</t>
  </si>
  <si>
    <t>484545282511</t>
  </si>
  <si>
    <t>Radiátor designový s vertikálním uspořádáním otopných prvků 514x1400x61-typ 10</t>
  </si>
  <si>
    <t>RADIÁTOR DESIGNOVÝ S VERTIKÁLNÍM USPOŘÁDÁNÍM OTOPNÝCH PRVKŮ 514x1400x61 TYP 10
-KLASICKÝ VENTIL, STŘEDOVÉ SPODNÍ PŘIPOJENÍ, PŘIPOJOVACÍ PŘÍMÉ ŠROUBENÍ
A TERMOSTATICKÝ VENTIL I HLAVICE V CHROMOVÉM PROVEDENÍ, BARVA ANTRACITOVÁ-2ks</t>
  </si>
  <si>
    <t>131</t>
  </si>
  <si>
    <t>998795101R00</t>
  </si>
  <si>
    <t>Přesun hmot pro lokální vytápění, výšky do 6 m</t>
  </si>
  <si>
    <t>766</t>
  </si>
  <si>
    <t>Konstrukce truhlářské</t>
  </si>
  <si>
    <t>132</t>
  </si>
  <si>
    <t>766670011R00</t>
  </si>
  <si>
    <t>Montáž obložkové zárubně a dřevěného křídla dveří</t>
  </si>
  <si>
    <t>766_</t>
  </si>
  <si>
    <t>SO 02_76_</t>
  </si>
  <si>
    <t>133</t>
  </si>
  <si>
    <t>766695213R00</t>
  </si>
  <si>
    <t>Montáž prahů dveří jednokřídlových š. nad 10 cm</t>
  </si>
  <si>
    <t>134</t>
  </si>
  <si>
    <t>61181542</t>
  </si>
  <si>
    <t>Zárubeň obložková š. 800 mm/tl. stěny 360 - 500 mm dýha buk, dub, jasan</t>
  </si>
  <si>
    <t>135</t>
  </si>
  <si>
    <t>61161803</t>
  </si>
  <si>
    <t>Dveře vnitřní hladké plné  1-křídlé 800 x 1970 mm dýha standard, včetně kování</t>
  </si>
  <si>
    <t>136</t>
  </si>
  <si>
    <t>61187401</t>
  </si>
  <si>
    <t>Prah bukový dl. 800 mm, š. 150 mm, tl. 20 mm</t>
  </si>
  <si>
    <t>RTS I / 2024</t>
  </si>
  <si>
    <t>137</t>
  </si>
  <si>
    <t>998766101R00</t>
  </si>
  <si>
    <t>Přesun hmot pro truhlářské konstr., výšky do 6 m</t>
  </si>
  <si>
    <t>771</t>
  </si>
  <si>
    <t>Podlahy z dlaždic</t>
  </si>
  <si>
    <t>138</t>
  </si>
  <si>
    <t>771212118R00</t>
  </si>
  <si>
    <t>Kladení dlažby keramické do TM, vel.nad 600x600 mm</t>
  </si>
  <si>
    <t>771_</t>
  </si>
  <si>
    <t>SO 02_77_</t>
  </si>
  <si>
    <t>139</t>
  </si>
  <si>
    <t>59764201111</t>
  </si>
  <si>
    <t>Dlažba keramická velkoformátová 45x90cm -tl&lt;10, rektifikovaná, protiskluzná R10, minimální cena 1500Kč/m2</t>
  </si>
  <si>
    <t>140</t>
  </si>
  <si>
    <t>771578011R00</t>
  </si>
  <si>
    <t>Spára podlaha - stěna, silikonem</t>
  </si>
  <si>
    <t>141</t>
  </si>
  <si>
    <t>998771101R00</t>
  </si>
  <si>
    <t>Přesun hmot pro podlahy z dlaždic, výšky do 6 m</t>
  </si>
  <si>
    <t>781</t>
  </si>
  <si>
    <t>Obklady (keramické)</t>
  </si>
  <si>
    <t>142</t>
  </si>
  <si>
    <t>781475124R001</t>
  </si>
  <si>
    <t>Obklad vnitřní stěn keramický, do tmele, vel. nad 60 x 60 cm</t>
  </si>
  <si>
    <t>781_</t>
  </si>
  <si>
    <t>SO 02_78_</t>
  </si>
  <si>
    <t>spára do 3mm</t>
  </si>
  <si>
    <t>143</t>
  </si>
  <si>
    <t>597610021</t>
  </si>
  <si>
    <t>Obklad keramický velkoformátový 45x90cm -tl&lt;10, rektifikovaná,minimální cena 1500Kč/m2</t>
  </si>
  <si>
    <t>144</t>
  </si>
  <si>
    <t>781419711R00</t>
  </si>
  <si>
    <t>Příplatek k obkladu stěn za plochu do 10 m2 jedntl</t>
  </si>
  <si>
    <t>145</t>
  </si>
  <si>
    <t>781491001RT1</t>
  </si>
  <si>
    <t>Montáž lišt k obkladům</t>
  </si>
  <si>
    <t>rohových, koutových i dilatačních</t>
  </si>
  <si>
    <t>146</t>
  </si>
  <si>
    <t>781497132RS4</t>
  </si>
  <si>
    <t>Lišta nerezová rohová k obkladům</t>
  </si>
  <si>
    <t>profil IL, pro tloušťku obkladu 10 mm</t>
  </si>
  <si>
    <t>147</t>
  </si>
  <si>
    <t>998781101R00</t>
  </si>
  <si>
    <t>Přesun hmot pro obklady keramické, výšky do 6 m</t>
  </si>
  <si>
    <t>Lešení a stavební výtahy</t>
  </si>
  <si>
    <t>148</t>
  </si>
  <si>
    <t>941955001R00</t>
  </si>
  <si>
    <t>Lešení lehké pomocné, výška podlahy do 1,2 m</t>
  </si>
  <si>
    <t>94_</t>
  </si>
  <si>
    <t>Celkem:</t>
  </si>
  <si>
    <t>Poznámka:</t>
  </si>
  <si>
    <t>Jednotková cena (Kč)</t>
  </si>
  <si>
    <t>Náklady dodávka (Kč)</t>
  </si>
  <si>
    <t>Náklady montáž (Kč)</t>
  </si>
  <si>
    <t>Náklady celkem (Kč)</t>
  </si>
  <si>
    <t>Celková/MJ</t>
  </si>
  <si>
    <t>Celková hmotnost(t)</t>
  </si>
  <si>
    <t>3*2+1   Překlady  P1,P2</t>
  </si>
  <si>
    <t>P</t>
  </si>
  <si>
    <t>3*2   Překlad P1</t>
  </si>
  <si>
    <t>1   Překlad P2</t>
  </si>
  <si>
    <t>16   Vyvěšení dveřních křídel</t>
  </si>
  <si>
    <t>((0,2+0,1*2)*2+0,8*(0,2+0,1*2))*3   Vybourání obložkových zárubní</t>
  </si>
  <si>
    <t>(0,8*2)*2   Vybourání ocelových zárubní</t>
  </si>
  <si>
    <t>0,1*4,8*2   Dočištění po odstranění kovových zárubní 230,232</t>
  </si>
  <si>
    <t>2,35*1,645   230</t>
  </si>
  <si>
    <t>17,57   231</t>
  </si>
  <si>
    <t>5,43   232</t>
  </si>
  <si>
    <t>4,63   234</t>
  </si>
  <si>
    <t>15,31   233</t>
  </si>
  <si>
    <t>4   Podhled v 1.NP restaurace, vpusť</t>
  </si>
  <si>
    <t>3,87   230</t>
  </si>
  <si>
    <t>46,81   viz. položka 5,6</t>
  </si>
  <si>
    <t>(2,35*2+1,645*2)*2,6-0,8*2*2   Bourání obkladů m.230</t>
  </si>
  <si>
    <t>(2,6+1,2+3,56+0,25+0,94+3+0,94+0,3+4,4)*2,6-0,8*2   231</t>
  </si>
  <si>
    <t>(2,27+2,57+1,382+1,25+1,68)*2,6-0,8*2*2   232</t>
  </si>
  <si>
    <t>(3,24+0,08+0,27+4,34+3,45+4,425)*2,6-0,8*2   233</t>
  </si>
  <si>
    <t>(1+0,25+0,9+2,24+0,23+0,08+1,67+2,57)*2,6-0,8*2   234</t>
  </si>
  <si>
    <t>3,8*2   Odřezání příčky mezi 232,234</t>
  </si>
  <si>
    <t>3,8*2,57   Příčka mezi 232,234</t>
  </si>
  <si>
    <t>0,25   Odvrt pro vpusť m.233</t>
  </si>
  <si>
    <t>(2,4+2,3+3+3)+16   Voda</t>
  </si>
  <si>
    <t>0,3+1,9+1,8+1,1+1,5+0,5   Kanalizace</t>
  </si>
  <si>
    <t>0,9*2,05+1,2*0,2   Bourání nových dveří mezi 246,232</t>
  </si>
  <si>
    <t>0,9*2,05+1,2*0,2   231,232</t>
  </si>
  <si>
    <t>0,9*2,05+1,2*0,2   234,233</t>
  </si>
  <si>
    <t>0,8*2*0,05   Vysekání příčky pro osazení zrcadla hl.do 50mm m.233</t>
  </si>
  <si>
    <t>1   230</t>
  </si>
  <si>
    <t>1   231</t>
  </si>
  <si>
    <t>1   232</t>
  </si>
  <si>
    <t>1   234</t>
  </si>
  <si>
    <t>(4,41+2,9+1,32*4)*2+(4,42+1,32*4)*2   Demontáž sanitárních příček m231,233</t>
  </si>
  <si>
    <t>8   Demontáž umyvadel m.231,232,233,234</t>
  </si>
  <si>
    <t>2   Demontáž desek umyvadlových 231,232</t>
  </si>
  <si>
    <t>8   m.231</t>
  </si>
  <si>
    <t>1   m.232</t>
  </si>
  <si>
    <t>1   m.233</t>
  </si>
  <si>
    <t>7   m.234</t>
  </si>
  <si>
    <t>12   Demontáž WC m.231,233,234</t>
  </si>
  <si>
    <t>1   m.231</t>
  </si>
  <si>
    <t>1   Demontáž pisoárů 5ks</t>
  </si>
  <si>
    <t>5   Demontáž umyvadel m.231,232,233,234</t>
  </si>
  <si>
    <t>2   m.231,233-Radiátory sociálek</t>
  </si>
  <si>
    <t>18,6291*4   Uvažováno 20m</t>
  </si>
  <si>
    <t>18,6291</t>
  </si>
  <si>
    <t>18,6291*14   Skládka do 15km</t>
  </si>
  <si>
    <t>1   Svislé nerez madlo imobilní M3</t>
  </si>
  <si>
    <t>1   Vodorovné dvojité sklopné nerez madlo imobilní M1</t>
  </si>
  <si>
    <t>1   Vodorovné dvojité sklopné nerez madlo imobilní M2</t>
  </si>
  <si>
    <t>10   Nerez závěsný WC kartáč m.230,231,233</t>
  </si>
  <si>
    <t>M</t>
  </si>
  <si>
    <t>7   Nerez zásobník sáčků -WCženy</t>
  </si>
  <si>
    <t>8   Nerez odpadkový koš -WC ženy/imobilní 1/muži 1</t>
  </si>
  <si>
    <t>3   Nerez piktogram -PIK1</t>
  </si>
  <si>
    <t>1   Zrcadlo v dřevodekoru -Z1</t>
  </si>
  <si>
    <t>1   Krycí deska v dřevodekoru pod zrcadlo-Z1</t>
  </si>
  <si>
    <t>1   Zrcadlo v dřevodekoru -Z2</t>
  </si>
  <si>
    <t>1   Krycí deska +boky v dřevodekoru pod zrcadlo-Z2</t>
  </si>
  <si>
    <t>1   Zrcadlo zapuštěné -Z3</t>
  </si>
  <si>
    <t>1   Zrcadlo zapuštěné v dřevodekoru-Z4</t>
  </si>
  <si>
    <t>1   Zrcadlo pro imobilní náklopné -Z5</t>
  </si>
  <si>
    <t>1   Deska z umělého kamene, včetně soklu-D/1</t>
  </si>
  <si>
    <t>1   Deska z umělého kamene, včetně soklu-D/2</t>
  </si>
  <si>
    <t>2,57*3,8   Příčka mezi 232,234</t>
  </si>
  <si>
    <t>0,9*2,05*0,1   Zazdívka dveří m.230,231</t>
  </si>
  <si>
    <t>0,9*2,05*0,1   232,233</t>
  </si>
  <si>
    <t>0,9*2,05*0,15   Zazdívka mezi 246,232</t>
  </si>
  <si>
    <t>4,5*1,2+0,35*4,51*1,2+0,35*1   Opláštění WC modulů m.231</t>
  </si>
  <si>
    <t>2,75*1,2+0,35*2,75   m.233</t>
  </si>
  <si>
    <t>46,81   m.230-234</t>
  </si>
  <si>
    <t>4   Podhled restaurace</t>
  </si>
  <si>
    <t>1,65*2,35   m.230</t>
  </si>
  <si>
    <t>5,43   m.232</t>
  </si>
  <si>
    <t>0,8*0,3*2+0,15*0,8+0,8*0,3*2+0,8*0,1   m.232</t>
  </si>
  <si>
    <t>0,8*0,3*2+0,15*0,8+0,8*0,3*2+0,8*0,1   m.234</t>
  </si>
  <si>
    <t>(2,4+2,3+3+3)+16   Zához drážek instalací voda</t>
  </si>
  <si>
    <t>0,3+1,9+1,8+1,1+1,5+0,5   kanalizace</t>
  </si>
  <si>
    <t>46,81   m.230,231,232,233,234</t>
  </si>
  <si>
    <t>15,31   m.233 - hydroizolace místnosti</t>
  </si>
  <si>
    <t>15,31+(4,425*2+3,54*2-0,9)*0,1   m.233 - hydroizolace místnosti+10cm na stěny</t>
  </si>
  <si>
    <t>4   Protipožární ucpávka -Od rozvaděče R.2.1</t>
  </si>
  <si>
    <t>2   Pro rozvaděč R.2.1.1</t>
  </si>
  <si>
    <t>1,5   Potrubí pro vpusť napojení na stávající</t>
  </si>
  <si>
    <t>1   Spojovací materiál</t>
  </si>
  <si>
    <t>8   Umyvadla U1,U2,U3</t>
  </si>
  <si>
    <t>5   Pisoáry PI</t>
  </si>
  <si>
    <t>10   WC1, WC2</t>
  </si>
  <si>
    <t>1   Vpusť</t>
  </si>
  <si>
    <t>1   Vsazení odbočky 16a</t>
  </si>
  <si>
    <t>1   Vsazení odbočky 18</t>
  </si>
  <si>
    <t>2   Odbočky pro umyvadlo U2 a WC2</t>
  </si>
  <si>
    <t>1   Odbočky pro umyvadla U1 v 234</t>
  </si>
  <si>
    <t>1+4   Úprava vodovu v 230</t>
  </si>
  <si>
    <t>5   Úprava vodovodu 234</t>
  </si>
  <si>
    <t>3*2+0,3*2+2+0,4   Úprava vodovu v 230</t>
  </si>
  <si>
    <t>(1,4+6*0,3)*2+6*2   Úprava vodovodu 234</t>
  </si>
  <si>
    <t>4   Úprava vodovodu 231,233</t>
  </si>
  <si>
    <t>41   Izolace potrubí</t>
  </si>
  <si>
    <t>8*2+9+5   Propojovací hadice WC1,U2,U1</t>
  </si>
  <si>
    <t>41,4   Těsnost potrubí</t>
  </si>
  <si>
    <t>41,4</t>
  </si>
  <si>
    <t>10   Záslepky pro demontované části</t>
  </si>
  <si>
    <t>5   Demontáž potrubí 232,231</t>
  </si>
  <si>
    <t>1+1   Umyvadlo U2+umývátko U3</t>
  </si>
  <si>
    <t>6   Baterie senzorová U1</t>
  </si>
  <si>
    <t>2   Umyvadlo U/2+umývátko WC ženy</t>
  </si>
  <si>
    <t>6   Umyvadlo U1</t>
  </si>
  <si>
    <t>2   Umyvadlo imobilní U2+umýváko WC ženy U/3</t>
  </si>
  <si>
    <t>1   WC ženy U/3</t>
  </si>
  <si>
    <t>1   umyvadlo U2</t>
  </si>
  <si>
    <t>6+1+1   Umyvadlo U1+Umyvadlo U2+Umyvadlo U3</t>
  </si>
  <si>
    <t>9   Závěsný klozet WC1</t>
  </si>
  <si>
    <t>2   automatický dávkovač mýdla U1</t>
  </si>
  <si>
    <t>9   Závěsné WC1</t>
  </si>
  <si>
    <t>1   Imobilní WC2</t>
  </si>
  <si>
    <t>1   WC invalidé</t>
  </si>
  <si>
    <t>5   Pisoár PI</t>
  </si>
  <si>
    <t>(5,35*2+1,325*4*2+1,875*2)*1,05   WC ženy m.231</t>
  </si>
  <si>
    <t>(2,775*2+1,325*3*2)*1,05   WC muži m.233</t>
  </si>
  <si>
    <t>9   Modul pro WC m.231-233</t>
  </si>
  <si>
    <t>1   Vzduchotechnika</t>
  </si>
  <si>
    <t>1*2*2*1,2   Úprava potrubí pro R1</t>
  </si>
  <si>
    <t>12   Ohyby na potrubí R1</t>
  </si>
  <si>
    <t>2   Radiátor R1</t>
  </si>
  <si>
    <t>5   dveře L1;L2,P1,P2</t>
  </si>
  <si>
    <t>2   Dveře L1</t>
  </si>
  <si>
    <t>5   Dveře L1,L2,P1,P2</t>
  </si>
  <si>
    <t>2   L1</t>
  </si>
  <si>
    <t>46,81*1,15   m.230-234+15%prořez</t>
  </si>
  <si>
    <t>60   m.230-234</t>
  </si>
  <si>
    <t>(2,35*2+1,645*2)*2,6-0,8*2*2   obklady m.230</t>
  </si>
  <si>
    <t>((2,35*2+1,645*2)*2,6-0,8*2*2)*1,15   obklady m.230</t>
  </si>
  <si>
    <t>((2,6+1,2+3,56+0,25+0,94+3+0,94+0,3+4,4)*2,6-0,8*2)*1,15   231</t>
  </si>
  <si>
    <t>((2,27+2,57+1,382+1,25+1,68)*2,6-0,8*2*2)*1,15   232</t>
  </si>
  <si>
    <t>((3,24+0,08+0,27+4,34+3,45+4,425)*2,6-0,8*2)*1,15   233</t>
  </si>
  <si>
    <t>((1+0,25+0,9+2,24+0,23+0,08+1,67+2,57)*2,6-0,8*2)*1,15   234</t>
  </si>
  <si>
    <t>((2,35*2+1,645*2)*2,6-0,8*2*2)*1,15   230</t>
  </si>
  <si>
    <t>33*2,6+2,75+4,5   Lišty koutové m.230-234+lišta za WC</t>
  </si>
  <si>
    <t>Stavební rozpočet - rekapitulace</t>
  </si>
  <si>
    <t>Zkrácený popis</t>
  </si>
  <si>
    <t>Náklady (Kč) - dodávka</t>
  </si>
  <si>
    <t>Náklady (Kč) - Montáž</t>
  </si>
  <si>
    <t>Náklady (Kč) - celkem</t>
  </si>
  <si>
    <t>Celková hmotnost (t)</t>
  </si>
  <si>
    <t>F</t>
  </si>
  <si>
    <t>T</t>
  </si>
  <si>
    <t>Krycí list rozpočtu</t>
  </si>
  <si>
    <t>IČO/DIČ:</t>
  </si>
  <si>
    <t>Položek:</t>
  </si>
  <si>
    <t>Datum:</t>
  </si>
  <si>
    <t>Rozpočtové náklady v Kč</t>
  </si>
  <si>
    <t>A</t>
  </si>
  <si>
    <t>Základní rozpočtové náklady</t>
  </si>
  <si>
    <t>B</t>
  </si>
  <si>
    <t>Doplňkové náklady</t>
  </si>
  <si>
    <t>C</t>
  </si>
  <si>
    <t>Náklady na umístění stavby (NUS)</t>
  </si>
  <si>
    <t>HSV</t>
  </si>
  <si>
    <t>Dodávky</t>
  </si>
  <si>
    <t>Práce přesčas</t>
  </si>
  <si>
    <t>Zařízení staveniště</t>
  </si>
  <si>
    <t>Bez pevné podl.</t>
  </si>
  <si>
    <t>Mimostav. doprava</t>
  </si>
  <si>
    <t>PSV</t>
  </si>
  <si>
    <t>Kulturní památka</t>
  </si>
  <si>
    <t>Územní vlivy</t>
  </si>
  <si>
    <t>Provozní vlivy</t>
  </si>
  <si>
    <t>"M"</t>
  </si>
  <si>
    <t>Ostatní</t>
  </si>
  <si>
    <t>NUS z rozpočtu</t>
  </si>
  <si>
    <t>Ostatní materiál</t>
  </si>
  <si>
    <t>Přesun hmot a sutí</t>
  </si>
  <si>
    <t>ZRN celkem</t>
  </si>
  <si>
    <t>DN celkem</t>
  </si>
  <si>
    <t>NUS celkem</t>
  </si>
  <si>
    <t>DN celkem z obj.</t>
  </si>
  <si>
    <t>NUS celkem z obj.</t>
  </si>
  <si>
    <t>VORN celkem</t>
  </si>
  <si>
    <t>VORN celkem z obj.</t>
  </si>
  <si>
    <t>Základ 0%</t>
  </si>
  <si>
    <t>Základ 12%</t>
  </si>
  <si>
    <t>DPH 12%</t>
  </si>
  <si>
    <t>Celkem bez DPH</t>
  </si>
  <si>
    <t>Základ 21%</t>
  </si>
  <si>
    <t>DPH 21%</t>
  </si>
  <si>
    <t>Celkem včetně DPH</t>
  </si>
  <si>
    <t>Projektant</t>
  </si>
  <si>
    <t>Objednatel</t>
  </si>
  <si>
    <t>Zhotovitel</t>
  </si>
  <si>
    <t>Datum, razítko a podpis</t>
  </si>
  <si>
    <t>Vedlejší a ostatní rozpočtové náklady</t>
  </si>
  <si>
    <t>Vedlejší rozpočtové náklady VRN</t>
  </si>
  <si>
    <t>Doplňkové náklady DN</t>
  </si>
  <si>
    <t>Kč</t>
  </si>
  <si>
    <t>%</t>
  </si>
  <si>
    <t>Základna</t>
  </si>
  <si>
    <t>Celkem DN</t>
  </si>
  <si>
    <t>Celkem NUS</t>
  </si>
  <si>
    <t>Celkem VRN</t>
  </si>
  <si>
    <t>Ostatní rozpočtové náklady ORN</t>
  </si>
  <si>
    <t>Ostatní rozpočtové náklady (ORN)</t>
  </si>
  <si>
    <t>Celkem ORN</t>
  </si>
  <si>
    <t>Krycí list rozpočtu (SO 01 - Šatny)</t>
  </si>
  <si>
    <t>Vedlejší a ostatní rozpočtové náklady (SO 01 - Šatny)</t>
  </si>
  <si>
    <t>Mimostaveništní doprava</t>
  </si>
  <si>
    <t>Krycí list rozpočtu (SO 02 - Sociální zařízení)</t>
  </si>
  <si>
    <t>Vedlejší a ostatní rozpočtové náklady (SO 02 - Sociální zařízení)</t>
  </si>
  <si>
    <t xml:space="preserve">Položka obsahuje natažení stěrkového tmelu, vtlačení výztužné sítě a rozetření tmelu.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</si>
</sst>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name val="Calibri"/>
      <charset val="1"/>
    </font>
    <font>
      <sz val="18"/>
      <color rgb="FF000000"/>
      <name val="Arial"/>
      <charset val="238"/>
    </font>
    <font>
      <b/>
      <sz val="10"/>
      <color rgb="FF000000"/>
      <name val="Arial"/>
      <charset val="238"/>
    </font>
    <font>
      <sz val="10"/>
      <color rgb="FF000000"/>
      <name val="Arial"/>
      <charset val="238"/>
    </font>
    <font>
      <i/>
      <sz val="10"/>
      <color rgb="FF000000"/>
      <name val="Arial"/>
      <charset val="238"/>
    </font>
    <font>
      <i/>
      <sz val="8"/>
      <color rgb="FF000000"/>
      <name val="Arial"/>
      <charset val="238"/>
    </font>
    <font>
      <b/>
      <sz val="18"/>
      <color rgb="FF000000"/>
      <name val="Arial"/>
      <charset val="238"/>
    </font>
    <font>
      <b/>
      <sz val="20"/>
      <color rgb="FF000000"/>
      <name val="Arial"/>
      <charset val="238"/>
    </font>
    <font>
      <b/>
      <sz val="11"/>
      <color rgb="FF000000"/>
      <name val="Arial"/>
      <charset val="238"/>
    </font>
    <font>
      <b/>
      <sz val="12"/>
      <color rgb="FF000000"/>
      <name val="Arial"/>
      <charset val="238"/>
    </font>
    <font>
      <sz val="12"/>
      <color rgb="FF000000"/>
      <name val="Arial"/>
      <charset val="238"/>
    </font>
    <font>
      <i/>
      <sz val="10"/>
      <color rgb="FF000000"/>
      <name val="Arial"/>
      <family val="2"/>
      <charset val="238"/>
    </font>
  </fonts>
  <fills count="5">
    <fill>
      <patternFill patternType="none"/>
    </fill>
    <fill>
      <patternFill patternType="gray125"/>
    </fill>
    <fill>
      <patternFill patternType="solid">
        <fgColor rgb="FFC0C0C0"/>
        <bgColor rgb="FFC0C0C0"/>
      </patternFill>
    </fill>
    <fill>
      <patternFill patternType="solid">
        <fgColor rgb="FF000000"/>
        <bgColor rgb="FF000000"/>
      </patternFill>
    </fill>
    <fill>
      <patternFill patternType="solid">
        <fgColor rgb="FF00B0F0"/>
        <bgColor indexed="64"/>
      </patternFill>
    </fill>
  </fills>
  <borders count="8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style="thin">
        <color rgb="FF000000"/>
      </right>
      <top style="medium">
        <color rgb="FF000000"/>
      </top>
      <bottom/>
      <diagonal/>
    </border>
    <border>
      <left/>
      <right style="thin">
        <color rgb="FF000000"/>
      </right>
      <top style="medium">
        <color rgb="FF000000"/>
      </top>
      <bottom/>
      <diagonal/>
    </border>
    <border>
      <left/>
      <right/>
      <top style="medium">
        <color rgb="FF000000"/>
      </top>
      <bottom/>
      <diagonal/>
    </border>
    <border>
      <left/>
      <right style="thin">
        <color rgb="FF000000"/>
      </right>
      <top style="medium">
        <color rgb="FF000000"/>
      </top>
      <bottom/>
      <diagonal/>
    </border>
    <border>
      <left/>
      <right/>
      <top style="medium">
        <color rgb="FF000000"/>
      </top>
      <bottom/>
      <diagonal/>
    </border>
    <border>
      <left style="thin">
        <color rgb="FF000000"/>
      </left>
      <right/>
      <top style="medium">
        <color rgb="FF000000"/>
      </top>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right style="medium">
        <color rgb="FF000000"/>
      </right>
      <top style="medium">
        <color rgb="FF000000"/>
      </top>
      <bottom style="thin">
        <color rgb="FF000000"/>
      </bottom>
      <diagonal/>
    </border>
    <border>
      <left/>
      <right/>
      <top style="medium">
        <color rgb="FF000000"/>
      </top>
      <bottom style="thin">
        <color rgb="FF000000"/>
      </bottom>
      <diagonal/>
    </border>
    <border>
      <left/>
      <right/>
      <top style="medium">
        <color rgb="FF000000"/>
      </top>
      <bottom style="thin">
        <color rgb="FF000000"/>
      </bottom>
      <diagonal/>
    </border>
    <border>
      <left style="medium">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right style="thin">
        <color rgb="FF000000"/>
      </right>
      <top/>
      <bottom style="medium">
        <color rgb="FF000000"/>
      </bottom>
      <diagonal/>
    </border>
    <border>
      <left/>
      <right/>
      <top/>
      <bottom style="medium">
        <color rgb="FF000000"/>
      </bottom>
      <diagonal/>
    </border>
    <border>
      <left/>
      <right style="thin">
        <color rgb="FF000000"/>
      </right>
      <top/>
      <bottom style="medium">
        <color rgb="FF000000"/>
      </bottom>
      <diagonal/>
    </border>
    <border>
      <left/>
      <right/>
      <top/>
      <bottom style="medium">
        <color rgb="FF000000"/>
      </bottom>
      <diagonal/>
    </border>
    <border>
      <left style="thin">
        <color rgb="FF000000"/>
      </left>
      <right/>
      <top/>
      <bottom style="medium">
        <color rgb="FF000000"/>
      </bottom>
      <diagonal/>
    </border>
    <border>
      <left style="medium">
        <color rgb="FF000000"/>
      </left>
      <right style="thin">
        <color rgb="FF000000"/>
      </right>
      <top/>
      <bottom style="medium">
        <color rgb="FF000000"/>
      </bottom>
      <diagonal/>
    </border>
    <border>
      <left/>
      <right style="thin">
        <color rgb="FF000000"/>
      </right>
      <top/>
      <bottom style="medium">
        <color rgb="FF000000"/>
      </bottom>
      <diagonal/>
    </border>
    <border>
      <left/>
      <right style="medium">
        <color rgb="FF000000"/>
      </right>
      <top/>
      <bottom style="medium">
        <color rgb="FF000000"/>
      </bottom>
      <diagonal/>
    </border>
    <border>
      <left/>
      <right style="medium">
        <color rgb="FF000000"/>
      </right>
      <top/>
      <bottom style="medium">
        <color rgb="FF000000"/>
      </bottom>
      <diagonal/>
    </border>
    <border>
      <left/>
      <right style="thin">
        <color rgb="FF000000"/>
      </right>
      <top/>
      <bottom style="medium">
        <color rgb="FF000000"/>
      </bottom>
      <diagonal/>
    </border>
    <border>
      <left/>
      <right/>
      <top/>
      <bottom style="medium">
        <color rgb="FF000000"/>
      </bottom>
      <diagonal/>
    </border>
    <border>
      <left style="medium">
        <color rgb="FF000000"/>
      </left>
      <right style="thin">
        <color rgb="FF000000"/>
      </right>
      <top/>
      <bottom style="medium">
        <color rgb="FF000000"/>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bottom/>
      <diagonal/>
    </border>
    <border>
      <left style="medium">
        <color rgb="FF000000"/>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right style="thin">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top/>
      <bottom/>
      <diagonal/>
    </border>
    <border>
      <left/>
      <right style="thin">
        <color rgb="FF000000"/>
      </right>
      <top/>
      <bottom/>
      <diagonal/>
    </border>
    <border>
      <left/>
      <right style="thin">
        <color rgb="FF000000"/>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top/>
      <bottom style="thin">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top style="medium">
        <color rgb="FF000000"/>
      </top>
      <bottom/>
      <diagonal/>
    </border>
    <border>
      <left style="medium">
        <color rgb="FF000000"/>
      </left>
      <right/>
      <top/>
      <bottom/>
      <diagonal/>
    </border>
    <border>
      <left/>
      <right style="medium">
        <color rgb="FF000000"/>
      </right>
      <top/>
      <bottom/>
      <diagonal/>
    </border>
    <border>
      <left/>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right/>
      <top/>
      <bottom style="medium">
        <color rgb="FF000000"/>
      </bottom>
      <diagonal/>
    </border>
    <border>
      <left style="thin">
        <color rgb="FF000000"/>
      </left>
      <right/>
      <top/>
      <bottom/>
      <diagonal/>
    </border>
    <border>
      <left/>
      <right/>
      <top/>
      <bottom/>
      <diagonal/>
    </border>
    <border>
      <left/>
      <right style="thin">
        <color rgb="FF000000"/>
      </right>
      <top/>
      <bottom/>
      <diagonal/>
    </border>
    <border>
      <left/>
      <right style="thin">
        <color rgb="FF000000"/>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s>
  <cellStyleXfs count="1">
    <xf numFmtId="0" fontId="0" fillId="0" borderId="0"/>
  </cellStyleXfs>
  <cellXfs count="194">
    <xf numFmtId="0" fontId="0" fillId="0" borderId="0" xfId="0"/>
    <xf numFmtId="4" fontId="2" fillId="2" borderId="0" xfId="0" applyNumberFormat="1" applyFont="1" applyFill="1" applyAlignment="1">
      <alignment horizontal="right" vertical="center"/>
    </xf>
    <xf numFmtId="0" fontId="3" fillId="0" borderId="5" xfId="0" applyFont="1" applyBorder="1" applyAlignment="1">
      <alignment horizontal="left" vertical="center"/>
    </xf>
    <xf numFmtId="0" fontId="3" fillId="0" borderId="0" xfId="0" applyFont="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center" wrapText="1"/>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1"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9" xfId="0" applyFont="1" applyBorder="1" applyAlignment="1">
      <alignment horizontal="center" vertical="center"/>
    </xf>
    <xf numFmtId="0" fontId="2" fillId="0" borderId="22" xfId="0" applyFont="1" applyBorder="1" applyAlignment="1">
      <alignment horizontal="center" vertical="center"/>
    </xf>
    <xf numFmtId="0" fontId="2" fillId="2" borderId="0" xfId="0" applyFont="1" applyFill="1" applyAlignment="1">
      <alignment horizontal="right" vertical="center"/>
    </xf>
    <xf numFmtId="0" fontId="2" fillId="0" borderId="0" xfId="0" applyFont="1" applyAlignment="1">
      <alignment horizontal="right" vertical="center"/>
    </xf>
    <xf numFmtId="0" fontId="3" fillId="0" borderId="23" xfId="0" applyFont="1" applyBorder="1" applyAlignment="1">
      <alignment horizontal="left" vertical="center"/>
    </xf>
    <xf numFmtId="0" fontId="3" fillId="0" borderId="24" xfId="0" applyFont="1" applyBorder="1" applyAlignment="1">
      <alignment horizontal="left" vertical="center"/>
    </xf>
    <xf numFmtId="0" fontId="2" fillId="0" borderId="27" xfId="0" applyFont="1" applyBorder="1" applyAlignment="1">
      <alignment horizontal="center" vertical="center"/>
    </xf>
    <xf numFmtId="0" fontId="3" fillId="0" borderId="28" xfId="0" applyFont="1" applyBorder="1" applyAlignment="1">
      <alignment horizontal="left" vertical="center"/>
    </xf>
    <xf numFmtId="0" fontId="2" fillId="0" borderId="29" xfId="0" applyFont="1" applyBorder="1" applyAlignment="1">
      <alignment horizontal="center" vertical="center"/>
    </xf>
    <xf numFmtId="0" fontId="2" fillId="0" borderId="30" xfId="0" applyFont="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33" xfId="0" applyFont="1" applyBorder="1" applyAlignment="1">
      <alignment horizontal="center" vertical="center"/>
    </xf>
    <xf numFmtId="0" fontId="2" fillId="0" borderId="34" xfId="0" applyFont="1" applyBorder="1" applyAlignment="1">
      <alignment horizontal="center" vertical="center"/>
    </xf>
    <xf numFmtId="0" fontId="2" fillId="0" borderId="35" xfId="0" applyFont="1" applyBorder="1" applyAlignment="1">
      <alignment horizontal="center" vertical="center"/>
    </xf>
    <xf numFmtId="0" fontId="3" fillId="2" borderId="36" xfId="0" applyFont="1" applyFill="1" applyBorder="1" applyAlignment="1">
      <alignment horizontal="left" vertical="center"/>
    </xf>
    <xf numFmtId="0" fontId="2" fillId="2" borderId="37" xfId="0" applyFont="1" applyFill="1" applyBorder="1" applyAlignment="1">
      <alignment horizontal="left" vertical="center"/>
    </xf>
    <xf numFmtId="0" fontId="2" fillId="2" borderId="37" xfId="0" applyFont="1" applyFill="1" applyBorder="1" applyAlignment="1">
      <alignment horizontal="left" vertical="center" wrapText="1"/>
    </xf>
    <xf numFmtId="0" fontId="3" fillId="2" borderId="37" xfId="0" applyFont="1" applyFill="1" applyBorder="1" applyAlignment="1">
      <alignment horizontal="left" vertical="center"/>
    </xf>
    <xf numFmtId="4" fontId="2" fillId="2" borderId="37" xfId="0" applyNumberFormat="1" applyFont="1" applyFill="1" applyBorder="1" applyAlignment="1">
      <alignment horizontal="right" vertical="center"/>
    </xf>
    <xf numFmtId="0" fontId="2" fillId="2" borderId="37" xfId="0" applyFont="1" applyFill="1" applyBorder="1" applyAlignment="1">
      <alignment horizontal="right" vertical="center"/>
    </xf>
    <xf numFmtId="0" fontId="2" fillId="2" borderId="38" xfId="0" applyFont="1" applyFill="1" applyBorder="1" applyAlignment="1">
      <alignment horizontal="right" vertical="center"/>
    </xf>
    <xf numFmtId="0" fontId="3" fillId="2" borderId="5" xfId="0" applyFont="1" applyFill="1" applyBorder="1" applyAlignment="1">
      <alignment horizontal="left" vertical="center"/>
    </xf>
    <xf numFmtId="0" fontId="2" fillId="2" borderId="0" xfId="0" applyFont="1" applyFill="1" applyAlignment="1">
      <alignment horizontal="left" vertical="center"/>
    </xf>
    <xf numFmtId="0" fontId="2" fillId="2" borderId="0" xfId="0" applyFont="1" applyFill="1" applyAlignment="1">
      <alignment horizontal="left" vertical="center" wrapText="1"/>
    </xf>
    <xf numFmtId="0" fontId="3" fillId="2" borderId="0" xfId="0" applyFont="1" applyFill="1" applyAlignment="1">
      <alignment horizontal="left" vertical="center"/>
    </xf>
    <xf numFmtId="0" fontId="2" fillId="2" borderId="6" xfId="0" applyFont="1" applyFill="1" applyBorder="1" applyAlignment="1">
      <alignment horizontal="right" vertical="center"/>
    </xf>
    <xf numFmtId="4" fontId="3" fillId="0" borderId="0" xfId="0" applyNumberFormat="1" applyFont="1" applyAlignment="1">
      <alignment horizontal="right" vertical="center"/>
    </xf>
    <xf numFmtId="0" fontId="3" fillId="0" borderId="0" xfId="0" applyFont="1" applyAlignment="1">
      <alignment horizontal="right" vertical="center"/>
    </xf>
    <xf numFmtId="0" fontId="3" fillId="0" borderId="6" xfId="0" applyFont="1" applyBorder="1" applyAlignment="1">
      <alignment horizontal="right" vertical="center"/>
    </xf>
    <xf numFmtId="0" fontId="0" fillId="0" borderId="5" xfId="0" applyBorder="1"/>
    <xf numFmtId="0" fontId="4" fillId="0" borderId="0" xfId="0" applyFont="1" applyAlignment="1">
      <alignment horizontal="right" vertical="center"/>
    </xf>
    <xf numFmtId="0" fontId="4" fillId="0" borderId="0" xfId="0" applyFont="1" applyAlignment="1">
      <alignment horizontal="left" vertical="center" wrapText="1"/>
    </xf>
    <xf numFmtId="0" fontId="3" fillId="0" borderId="39" xfId="0" applyFont="1" applyBorder="1" applyAlignment="1">
      <alignment horizontal="left" vertical="center"/>
    </xf>
    <xf numFmtId="0" fontId="3" fillId="0" borderId="40" xfId="0" applyFont="1" applyBorder="1" applyAlignment="1">
      <alignment horizontal="left" vertical="center"/>
    </xf>
    <xf numFmtId="0" fontId="3" fillId="0" borderId="40" xfId="0" applyFont="1" applyBorder="1" applyAlignment="1">
      <alignment horizontal="left" vertical="center" wrapText="1"/>
    </xf>
    <xf numFmtId="4" fontId="3" fillId="0" borderId="40" xfId="0" applyNumberFormat="1" applyFont="1" applyBorder="1" applyAlignment="1">
      <alignment horizontal="right" vertical="center"/>
    </xf>
    <xf numFmtId="0" fontId="3" fillId="0" borderId="40" xfId="0" applyFont="1" applyBorder="1" applyAlignment="1">
      <alignment horizontal="right" vertical="center"/>
    </xf>
    <xf numFmtId="0" fontId="3" fillId="0" borderId="41" xfId="0" applyFont="1" applyBorder="1" applyAlignment="1">
      <alignment horizontal="right" vertical="center"/>
    </xf>
    <xf numFmtId="0" fontId="2" fillId="0" borderId="42" xfId="0" applyFont="1" applyBorder="1" applyAlignment="1">
      <alignment horizontal="left" vertical="center"/>
    </xf>
    <xf numFmtId="4" fontId="2" fillId="0" borderId="42" xfId="0" applyNumberFormat="1" applyFont="1" applyBorder="1" applyAlignment="1">
      <alignment horizontal="right" vertical="center"/>
    </xf>
    <xf numFmtId="0" fontId="5" fillId="0" borderId="0" xfId="0" applyFont="1" applyAlignment="1">
      <alignment horizontal="left" vertical="center"/>
    </xf>
    <xf numFmtId="0" fontId="2" fillId="0" borderId="43" xfId="0" applyFont="1" applyBorder="1" applyAlignment="1">
      <alignment horizontal="left" vertical="center"/>
    </xf>
    <xf numFmtId="0" fontId="2" fillId="0" borderId="29" xfId="0" applyFont="1" applyBorder="1" applyAlignment="1">
      <alignment horizontal="left" vertical="center"/>
    </xf>
    <xf numFmtId="0" fontId="3" fillId="3" borderId="0" xfId="0" applyFont="1" applyFill="1" applyAlignment="1">
      <alignment horizontal="left" vertical="center"/>
    </xf>
    <xf numFmtId="0" fontId="2" fillId="2" borderId="36" xfId="0" applyFont="1" applyFill="1" applyBorder="1" applyAlignment="1">
      <alignment horizontal="left" vertical="center"/>
    </xf>
    <xf numFmtId="4" fontId="2" fillId="2" borderId="38" xfId="0" applyNumberFormat="1" applyFont="1" applyFill="1" applyBorder="1" applyAlignment="1">
      <alignment horizontal="right" vertical="center"/>
    </xf>
    <xf numFmtId="0" fontId="2" fillId="2" borderId="5" xfId="0" applyFont="1" applyFill="1" applyBorder="1" applyAlignment="1">
      <alignment horizontal="left" vertical="center"/>
    </xf>
    <xf numFmtId="4" fontId="2" fillId="2" borderId="6" xfId="0" applyNumberFormat="1" applyFont="1" applyFill="1" applyBorder="1" applyAlignment="1">
      <alignment horizontal="right" vertical="center"/>
    </xf>
    <xf numFmtId="1" fontId="3" fillId="0" borderId="5" xfId="0" applyNumberFormat="1" applyFont="1" applyBorder="1" applyAlignment="1">
      <alignment horizontal="left" vertical="center"/>
    </xf>
    <xf numFmtId="4" fontId="3" fillId="0" borderId="6" xfId="0" applyNumberFormat="1" applyFont="1" applyBorder="1" applyAlignment="1">
      <alignment horizontal="right" vertical="center"/>
    </xf>
    <xf numFmtId="4" fontId="3" fillId="0" borderId="0" xfId="0" applyNumberFormat="1" applyFont="1" applyAlignment="1">
      <alignment horizontal="left" vertical="center"/>
    </xf>
    <xf numFmtId="0" fontId="0" fillId="0" borderId="6" xfId="0" applyBorder="1"/>
    <xf numFmtId="1" fontId="3" fillId="0" borderId="39" xfId="0" applyNumberFormat="1" applyFont="1" applyBorder="1" applyAlignment="1">
      <alignment horizontal="left" vertical="center"/>
    </xf>
    <xf numFmtId="4" fontId="3" fillId="0" borderId="41" xfId="0" applyNumberFormat="1" applyFont="1" applyBorder="1" applyAlignment="1">
      <alignment horizontal="right" vertical="center"/>
    </xf>
    <xf numFmtId="4" fontId="2" fillId="0" borderId="0" xfId="0" applyNumberFormat="1" applyFont="1" applyAlignment="1">
      <alignment horizontal="right" vertical="center"/>
    </xf>
    <xf numFmtId="0" fontId="2" fillId="0" borderId="44" xfId="0" applyFont="1" applyBorder="1" applyAlignment="1">
      <alignment horizontal="left" vertical="center"/>
    </xf>
    <xf numFmtId="0" fontId="2" fillId="0" borderId="45" xfId="0" applyFont="1" applyBorder="1" applyAlignment="1">
      <alignment horizontal="left" vertical="center"/>
    </xf>
    <xf numFmtId="0" fontId="2" fillId="0" borderId="46" xfId="0" applyFont="1" applyBorder="1" applyAlignment="1">
      <alignment horizontal="left" vertical="center"/>
    </xf>
    <xf numFmtId="0" fontId="2" fillId="0" borderId="46" xfId="0" applyFont="1" applyBorder="1" applyAlignment="1">
      <alignment horizontal="center" vertical="center"/>
    </xf>
    <xf numFmtId="0" fontId="2" fillId="0" borderId="47" xfId="0" applyFont="1" applyBorder="1" applyAlignment="1">
      <alignment horizontal="center" vertical="center"/>
    </xf>
    <xf numFmtId="0" fontId="3" fillId="0" borderId="36" xfId="0" applyFont="1" applyBorder="1" applyAlignment="1">
      <alignment horizontal="left" vertical="center"/>
    </xf>
    <xf numFmtId="0" fontId="3" fillId="0" borderId="37" xfId="0" applyFont="1" applyBorder="1" applyAlignment="1">
      <alignment horizontal="left" vertical="center"/>
    </xf>
    <xf numFmtId="4" fontId="3" fillId="0" borderId="37" xfId="0" applyNumberFormat="1" applyFont="1" applyBorder="1" applyAlignment="1">
      <alignment horizontal="right" vertical="center"/>
    </xf>
    <xf numFmtId="4" fontId="3" fillId="0" borderId="38" xfId="0" applyNumberFormat="1" applyFont="1" applyBorder="1" applyAlignment="1">
      <alignment horizontal="right" vertical="center"/>
    </xf>
    <xf numFmtId="0" fontId="3" fillId="0" borderId="48" xfId="0" applyFont="1" applyBorder="1" applyAlignment="1">
      <alignment horizontal="right" vertical="center"/>
    </xf>
    <xf numFmtId="0" fontId="7" fillId="2" borderId="50" xfId="0" applyFont="1" applyFill="1" applyBorder="1" applyAlignment="1">
      <alignment horizontal="center" vertical="center"/>
    </xf>
    <xf numFmtId="0" fontId="7" fillId="2" borderId="53" xfId="0" applyFont="1" applyFill="1" applyBorder="1" applyAlignment="1">
      <alignment horizontal="center" vertical="center"/>
    </xf>
    <xf numFmtId="0" fontId="9" fillId="0" borderId="54" xfId="0" applyFont="1" applyBorder="1" applyAlignment="1">
      <alignment horizontal="left" vertical="center"/>
    </xf>
    <xf numFmtId="0" fontId="10" fillId="0" borderId="55" xfId="0" applyFont="1" applyBorder="1" applyAlignment="1">
      <alignment horizontal="left" vertical="center"/>
    </xf>
    <xf numFmtId="4" fontId="10" fillId="0" borderId="55" xfId="0" applyNumberFormat="1" applyFont="1" applyBorder="1" applyAlignment="1">
      <alignment horizontal="right" vertical="center"/>
    </xf>
    <xf numFmtId="0" fontId="9" fillId="0" borderId="58" xfId="0" applyFont="1" applyBorder="1" applyAlignment="1">
      <alignment horizontal="left" vertical="center"/>
    </xf>
    <xf numFmtId="0" fontId="10" fillId="0" borderId="55" xfId="0" applyFont="1" applyBorder="1" applyAlignment="1">
      <alignment horizontal="right" vertical="center"/>
    </xf>
    <xf numFmtId="4" fontId="10" fillId="0" borderId="62" xfId="0" applyNumberFormat="1" applyFont="1" applyBorder="1" applyAlignment="1">
      <alignment horizontal="right" vertical="center"/>
    </xf>
    <xf numFmtId="0" fontId="10" fillId="0" borderId="62" xfId="0" applyFont="1" applyBorder="1" applyAlignment="1">
      <alignment horizontal="right" vertical="center"/>
    </xf>
    <xf numFmtId="4" fontId="10" fillId="0" borderId="53" xfId="0" applyNumberFormat="1" applyFont="1" applyBorder="1" applyAlignment="1">
      <alignment horizontal="right" vertical="center"/>
    </xf>
    <xf numFmtId="4" fontId="9" fillId="2" borderId="52" xfId="0" applyNumberFormat="1" applyFont="1" applyFill="1" applyBorder="1" applyAlignment="1">
      <alignment horizontal="right" vertical="center"/>
    </xf>
    <xf numFmtId="4" fontId="9" fillId="2" borderId="57" xfId="0" applyNumberFormat="1" applyFont="1" applyFill="1" applyBorder="1" applyAlignment="1">
      <alignment horizontal="right" vertical="center"/>
    </xf>
    <xf numFmtId="0" fontId="5" fillId="0" borderId="37" xfId="0" applyFont="1" applyBorder="1" applyAlignment="1">
      <alignment horizontal="left" vertical="center"/>
    </xf>
    <xf numFmtId="0" fontId="2" fillId="0" borderId="19" xfId="0" applyFont="1" applyBorder="1" applyAlignment="1">
      <alignment horizontal="right" vertical="center"/>
    </xf>
    <xf numFmtId="4" fontId="3" fillId="0" borderId="55" xfId="0" applyNumberFormat="1" applyFont="1" applyBorder="1" applyAlignment="1">
      <alignment horizontal="right" vertical="center"/>
    </xf>
    <xf numFmtId="0" fontId="3" fillId="0" borderId="55" xfId="0" applyFont="1" applyBorder="1" applyAlignment="1">
      <alignment horizontal="left" vertical="center"/>
    </xf>
    <xf numFmtId="4" fontId="3" fillId="0" borderId="81" xfId="0" applyNumberFormat="1" applyFont="1" applyBorder="1" applyAlignment="1">
      <alignment horizontal="right" vertical="center"/>
    </xf>
    <xf numFmtId="0" fontId="3" fillId="0" borderId="81" xfId="0" applyFont="1" applyBorder="1" applyAlignment="1">
      <alignment horizontal="left" vertical="center"/>
    </xf>
    <xf numFmtId="0" fontId="2" fillId="0" borderId="85" xfId="0" applyFont="1" applyBorder="1" applyAlignment="1">
      <alignment horizontal="left" vertical="center"/>
    </xf>
    <xf numFmtId="0" fontId="2" fillId="0" borderId="85" xfId="0" applyFont="1" applyBorder="1" applyAlignment="1">
      <alignment horizontal="right" vertical="center"/>
    </xf>
    <xf numFmtId="4" fontId="2" fillId="0" borderId="85" xfId="0" applyNumberFormat="1" applyFont="1" applyBorder="1" applyAlignment="1">
      <alignment horizontal="right" vertical="center"/>
    </xf>
    <xf numFmtId="4" fontId="3" fillId="4" borderId="0" xfId="0" applyNumberFormat="1" applyFont="1" applyFill="1" applyAlignment="1" applyProtection="1">
      <alignment horizontal="right" vertical="center"/>
      <protection locked="0"/>
    </xf>
    <xf numFmtId="4" fontId="3" fillId="4" borderId="40" xfId="0" applyNumberFormat="1" applyFont="1" applyFill="1" applyBorder="1" applyAlignment="1" applyProtection="1">
      <alignment horizontal="right" vertical="center"/>
      <protection locked="0"/>
    </xf>
    <xf numFmtId="0" fontId="10" fillId="0" borderId="73" xfId="0" applyFont="1" applyBorder="1" applyAlignment="1">
      <alignment horizontal="left" vertical="center"/>
    </xf>
    <xf numFmtId="0" fontId="10" fillId="0" borderId="0" xfId="0" applyFont="1" applyAlignment="1">
      <alignment horizontal="left" vertical="center"/>
    </xf>
    <xf numFmtId="0" fontId="10" fillId="0" borderId="72" xfId="0" applyFont="1" applyBorder="1" applyAlignment="1">
      <alignment horizontal="left" vertical="center"/>
    </xf>
    <xf numFmtId="0" fontId="10" fillId="0" borderId="77" xfId="0" applyFont="1" applyBorder="1" applyAlignment="1">
      <alignment horizontal="left" vertical="center"/>
    </xf>
    <xf numFmtId="0" fontId="10" fillId="0" borderId="75" xfId="0" applyFont="1" applyBorder="1" applyAlignment="1">
      <alignment horizontal="left" vertical="center"/>
    </xf>
    <xf numFmtId="0" fontId="10" fillId="0" borderId="76" xfId="0" applyFont="1" applyBorder="1" applyAlignment="1">
      <alignment horizontal="left" vertical="center"/>
    </xf>
    <xf numFmtId="0" fontId="3" fillId="0" borderId="0" xfId="0" applyFont="1" applyAlignment="1">
      <alignment horizontal="left" vertical="center" wrapText="1"/>
    </xf>
    <xf numFmtId="0" fontId="3" fillId="0" borderId="0" xfId="0" applyFont="1" applyAlignment="1">
      <alignment horizontal="left" vertical="center"/>
    </xf>
    <xf numFmtId="0" fontId="10" fillId="0" borderId="71" xfId="0" applyFont="1" applyBorder="1" applyAlignment="1">
      <alignment horizontal="left" vertical="center"/>
    </xf>
    <xf numFmtId="0" fontId="10" fillId="0" borderId="74" xfId="0" applyFont="1" applyBorder="1" applyAlignment="1">
      <alignment horizontal="left" vertical="center"/>
    </xf>
    <xf numFmtId="0" fontId="9" fillId="2" borderId="51" xfId="0" applyFont="1" applyFill="1" applyBorder="1" applyAlignment="1">
      <alignment horizontal="left" vertical="center"/>
    </xf>
    <xf numFmtId="0" fontId="9" fillId="2" borderId="65" xfId="0" applyFont="1" applyFill="1" applyBorder="1" applyAlignment="1">
      <alignment horizontal="left" vertical="center"/>
    </xf>
    <xf numFmtId="0" fontId="9" fillId="2" borderId="56" xfId="0" applyFont="1" applyFill="1" applyBorder="1" applyAlignment="1">
      <alignment horizontal="left" vertical="center"/>
    </xf>
    <xf numFmtId="0" fontId="9" fillId="2" borderId="66" xfId="0" applyFont="1" applyFill="1" applyBorder="1" applyAlignment="1">
      <alignment horizontal="left" vertical="center"/>
    </xf>
    <xf numFmtId="0" fontId="10" fillId="0" borderId="67" xfId="0" applyFont="1" applyBorder="1" applyAlignment="1">
      <alignment horizontal="left" vertical="center"/>
    </xf>
    <xf numFmtId="0" fontId="10" fillId="0" borderId="68" xfId="0" applyFont="1" applyBorder="1" applyAlignment="1">
      <alignment horizontal="left" vertical="center"/>
    </xf>
    <xf numFmtId="0" fontId="10" fillId="0" borderId="69" xfId="0" applyFont="1" applyBorder="1" applyAlignment="1">
      <alignment horizontal="left" vertical="center"/>
    </xf>
    <xf numFmtId="0" fontId="10" fillId="0" borderId="70" xfId="0" applyFont="1" applyBorder="1" applyAlignment="1">
      <alignment horizontal="left" vertical="center"/>
    </xf>
    <xf numFmtId="0" fontId="9" fillId="2" borderId="64" xfId="0" applyFont="1" applyFill="1" applyBorder="1" applyAlignment="1">
      <alignment horizontal="left" vertical="center"/>
    </xf>
    <xf numFmtId="0" fontId="9" fillId="2" borderId="59" xfId="0" applyFont="1" applyFill="1" applyBorder="1" applyAlignment="1">
      <alignment horizontal="left" vertical="center"/>
    </xf>
    <xf numFmtId="0" fontId="10" fillId="0" borderId="56" xfId="0" applyFont="1" applyBorder="1" applyAlignment="1">
      <alignment horizontal="left" vertical="center"/>
    </xf>
    <xf numFmtId="0" fontId="10" fillId="0" borderId="57" xfId="0" applyFont="1" applyBorder="1" applyAlignment="1">
      <alignment horizontal="left" vertical="center"/>
    </xf>
    <xf numFmtId="0" fontId="10" fillId="0" borderId="63" xfId="0" applyFont="1" applyBorder="1" applyAlignment="1">
      <alignment horizontal="left" vertical="center"/>
    </xf>
    <xf numFmtId="0" fontId="10" fillId="0" borderId="61" xfId="0" applyFont="1" applyBorder="1" applyAlignment="1">
      <alignment horizontal="left" vertical="center"/>
    </xf>
    <xf numFmtId="0" fontId="9" fillId="0" borderId="51" xfId="0" applyFont="1" applyBorder="1" applyAlignment="1">
      <alignment horizontal="left" vertical="center"/>
    </xf>
    <xf numFmtId="0" fontId="9" fillId="0" borderId="52" xfId="0" applyFont="1" applyBorder="1" applyAlignment="1">
      <alignment horizontal="left" vertical="center"/>
    </xf>
    <xf numFmtId="0" fontId="9" fillId="0" borderId="59" xfId="0" applyFont="1" applyBorder="1" applyAlignment="1">
      <alignment horizontal="left" vertical="center"/>
    </xf>
    <xf numFmtId="0" fontId="9" fillId="0" borderId="57" xfId="0" applyFont="1" applyBorder="1" applyAlignment="1">
      <alignment horizontal="left" vertical="center"/>
    </xf>
    <xf numFmtId="0" fontId="9" fillId="0" borderId="60" xfId="0" applyFont="1" applyBorder="1" applyAlignment="1">
      <alignment horizontal="left" vertical="center"/>
    </xf>
    <xf numFmtId="0" fontId="9" fillId="0" borderId="61" xfId="0" applyFont="1" applyBorder="1" applyAlignment="1">
      <alignment horizontal="left" vertical="center"/>
    </xf>
    <xf numFmtId="0" fontId="9" fillId="0" borderId="64" xfId="0" applyFont="1" applyBorder="1" applyAlignment="1">
      <alignment horizontal="left" vertical="center"/>
    </xf>
    <xf numFmtId="0" fontId="3" fillId="0" borderId="6" xfId="0" applyFont="1" applyBorder="1" applyAlignment="1">
      <alignment horizontal="left" vertical="center" wrapText="1"/>
    </xf>
    <xf numFmtId="0" fontId="3" fillId="0" borderId="41" xfId="0" applyFont="1" applyBorder="1" applyAlignment="1">
      <alignment horizontal="left" vertical="center"/>
    </xf>
    <xf numFmtId="0" fontId="6" fillId="0" borderId="49" xfId="0" applyFont="1" applyBorder="1" applyAlignment="1">
      <alignment horizontal="center" vertical="center"/>
    </xf>
    <xf numFmtId="0" fontId="8" fillId="0" borderId="51" xfId="0" applyFont="1" applyBorder="1" applyAlignment="1">
      <alignment horizontal="left" vertical="center"/>
    </xf>
    <xf numFmtId="0" fontId="8" fillId="0" borderId="52" xfId="0" applyFont="1" applyBorder="1" applyAlignment="1">
      <alignment horizontal="left" vertical="center"/>
    </xf>
    <xf numFmtId="0" fontId="3" fillId="0" borderId="40" xfId="0" applyFont="1" applyBorder="1" applyAlignment="1">
      <alignment horizontal="left" vertical="center"/>
    </xf>
    <xf numFmtId="0" fontId="3" fillId="0" borderId="5" xfId="0" applyFont="1" applyBorder="1" applyAlignment="1">
      <alignment horizontal="left" vertical="center" wrapText="1"/>
    </xf>
    <xf numFmtId="0" fontId="3" fillId="0" borderId="39" xfId="0" applyFont="1" applyBorder="1" applyAlignment="1">
      <alignment horizontal="left" vertical="center"/>
    </xf>
    <xf numFmtId="0" fontId="3" fillId="0" borderId="3"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3" fillId="0" borderId="2" xfId="0" applyFont="1" applyBorder="1" applyAlignment="1">
      <alignment horizontal="left" vertical="center" wrapText="1"/>
    </xf>
    <xf numFmtId="0" fontId="3" fillId="0" borderId="3" xfId="0" applyFont="1" applyBorder="1" applyAlignment="1">
      <alignment horizontal="left" vertical="center"/>
    </xf>
    <xf numFmtId="0" fontId="3" fillId="0" borderId="5" xfId="0" applyFont="1" applyBorder="1" applyAlignment="1">
      <alignment horizontal="left" vertical="center"/>
    </xf>
    <xf numFmtId="0" fontId="3" fillId="0" borderId="4" xfId="0" applyFont="1" applyBorder="1" applyAlignment="1">
      <alignment horizontal="left" vertical="center"/>
    </xf>
    <xf numFmtId="0" fontId="3" fillId="0" borderId="6" xfId="0" applyFont="1" applyBorder="1" applyAlignment="1">
      <alignment horizontal="left" vertical="center"/>
    </xf>
    <xf numFmtId="1" fontId="3" fillId="0" borderId="6" xfId="0" applyNumberFormat="1" applyFont="1" applyBorder="1" applyAlignment="1">
      <alignment horizontal="left" vertical="center"/>
    </xf>
    <xf numFmtId="0" fontId="2" fillId="0" borderId="3" xfId="0" applyFont="1" applyBorder="1" applyAlignment="1">
      <alignment horizontal="left" vertical="center" wrapText="1"/>
    </xf>
    <xf numFmtId="0" fontId="2" fillId="0" borderId="3" xfId="0" applyFont="1" applyBorder="1" applyAlignment="1">
      <alignment horizontal="left" vertical="center"/>
    </xf>
    <xf numFmtId="0" fontId="2" fillId="0" borderId="0" xfId="0" applyFont="1" applyAlignment="1">
      <alignment horizontal="left" vertical="center"/>
    </xf>
    <xf numFmtId="0" fontId="2" fillId="0" borderId="82" xfId="0" applyFont="1" applyBorder="1" applyAlignment="1">
      <alignment horizontal="left" vertical="center"/>
    </xf>
    <xf numFmtId="0" fontId="2" fillId="0" borderId="83" xfId="0" applyFont="1" applyBorder="1" applyAlignment="1">
      <alignment horizontal="left" vertical="center"/>
    </xf>
    <xf numFmtId="0" fontId="2" fillId="0" borderId="84" xfId="0" applyFont="1" applyBorder="1" applyAlignment="1">
      <alignment horizontal="left" vertical="center"/>
    </xf>
    <xf numFmtId="0" fontId="9" fillId="0" borderId="82" xfId="0" applyFont="1" applyBorder="1" applyAlignment="1">
      <alignment horizontal="left" vertical="center"/>
    </xf>
    <xf numFmtId="0" fontId="9" fillId="0" borderId="83" xfId="0" applyFont="1" applyBorder="1" applyAlignment="1">
      <alignment horizontal="left" vertical="center"/>
    </xf>
    <xf numFmtId="0" fontId="9" fillId="0" borderId="84" xfId="0" applyFont="1" applyBorder="1" applyAlignment="1">
      <alignment horizontal="left" vertical="center"/>
    </xf>
    <xf numFmtId="4" fontId="9" fillId="0" borderId="86" xfId="0" applyNumberFormat="1" applyFont="1" applyBorder="1" applyAlignment="1">
      <alignment horizontal="right" vertical="center"/>
    </xf>
    <xf numFmtId="0" fontId="9" fillId="0" borderId="83" xfId="0" applyFont="1" applyBorder="1" applyAlignment="1">
      <alignment horizontal="right" vertical="center"/>
    </xf>
    <xf numFmtId="0" fontId="9" fillId="0" borderId="84" xfId="0" applyFont="1" applyBorder="1" applyAlignment="1">
      <alignment horizontal="right" vertical="center"/>
    </xf>
    <xf numFmtId="0" fontId="9" fillId="0" borderId="8" xfId="0" applyFont="1" applyBorder="1" applyAlignment="1">
      <alignment horizontal="left" vertical="center"/>
    </xf>
    <xf numFmtId="0" fontId="2" fillId="0" borderId="16" xfId="0" applyFont="1" applyBorder="1" applyAlignment="1">
      <alignment horizontal="left" vertical="center"/>
    </xf>
    <xf numFmtId="0" fontId="2" fillId="0" borderId="17" xfId="0" applyFont="1" applyBorder="1" applyAlignment="1">
      <alignment horizontal="left" vertical="center"/>
    </xf>
    <xf numFmtId="0" fontId="2" fillId="0" borderId="18" xfId="0" applyFont="1" applyBorder="1" applyAlignment="1">
      <alignment horizontal="left" vertical="center"/>
    </xf>
    <xf numFmtId="0" fontId="3" fillId="0" borderId="78" xfId="0" applyFont="1" applyBorder="1" applyAlignment="1">
      <alignment horizontal="left" vertical="center"/>
    </xf>
    <xf numFmtId="0" fontId="3" fillId="0" borderId="79" xfId="0" applyFont="1" applyBorder="1" applyAlignment="1">
      <alignment horizontal="left" vertical="center"/>
    </xf>
    <xf numFmtId="0" fontId="3" fillId="0" borderId="80" xfId="0" applyFont="1" applyBorder="1" applyAlignment="1">
      <alignment horizontal="left" vertical="center"/>
    </xf>
    <xf numFmtId="0" fontId="3" fillId="0" borderId="59" xfId="0" applyFont="1" applyBorder="1" applyAlignment="1">
      <alignment horizontal="left" vertical="center"/>
    </xf>
    <xf numFmtId="0" fontId="3" fillId="0" borderId="66" xfId="0" applyFont="1" applyBorder="1" applyAlignment="1">
      <alignment horizontal="left" vertical="center"/>
    </xf>
    <xf numFmtId="0" fontId="3" fillId="0" borderId="57" xfId="0" applyFont="1" applyBorder="1" applyAlignment="1">
      <alignment horizontal="left" vertical="center"/>
    </xf>
    <xf numFmtId="0" fontId="3" fillId="0" borderId="4" xfId="0" applyFont="1" applyBorder="1" applyAlignment="1">
      <alignment horizontal="left" vertical="center" wrapText="1"/>
    </xf>
    <xf numFmtId="0" fontId="3" fillId="0" borderId="9" xfId="0" applyFont="1" applyBorder="1" applyAlignment="1">
      <alignment horizontal="left" vertical="center"/>
    </xf>
    <xf numFmtId="0" fontId="3" fillId="0" borderId="8" xfId="0" applyFont="1" applyBorder="1" applyAlignment="1">
      <alignment horizontal="left" vertical="center"/>
    </xf>
    <xf numFmtId="0" fontId="3" fillId="0" borderId="7" xfId="0" applyFont="1" applyBorder="1" applyAlignment="1">
      <alignment horizontal="left" vertical="center"/>
    </xf>
    <xf numFmtId="0" fontId="2" fillId="2" borderId="0" xfId="0" applyFont="1" applyFill="1" applyAlignment="1">
      <alignment horizontal="left" vertical="center" wrapText="1"/>
    </xf>
    <xf numFmtId="0" fontId="2" fillId="2" borderId="0" xfId="0" applyFont="1" applyFill="1" applyAlignment="1">
      <alignment horizontal="left" vertical="center"/>
    </xf>
    <xf numFmtId="0" fontId="3" fillId="0" borderId="40" xfId="0" applyFont="1" applyBorder="1" applyAlignment="1">
      <alignment horizontal="left" vertical="center" wrapText="1"/>
    </xf>
    <xf numFmtId="0" fontId="2" fillId="0" borderId="42" xfId="0" applyFont="1" applyBorder="1" applyAlignment="1">
      <alignment horizontal="left" vertical="center"/>
    </xf>
    <xf numFmtId="0" fontId="4" fillId="0" borderId="0" xfId="0" applyFont="1" applyAlignment="1">
      <alignment horizontal="left" vertical="center" wrapText="1"/>
    </xf>
    <xf numFmtId="0" fontId="4" fillId="0" borderId="0" xfId="0" applyFont="1" applyAlignment="1">
      <alignment horizontal="left" vertical="center"/>
    </xf>
    <xf numFmtId="0" fontId="4" fillId="0" borderId="6" xfId="0" applyFont="1" applyBorder="1" applyAlignment="1">
      <alignment horizontal="left" vertical="center"/>
    </xf>
    <xf numFmtId="0" fontId="11" fillId="0" borderId="0" xfId="0" applyFont="1" applyAlignment="1">
      <alignment horizontal="left" vertical="center" wrapText="1"/>
    </xf>
    <xf numFmtId="0" fontId="2" fillId="0" borderId="25" xfId="0" applyFont="1" applyBorder="1" applyAlignment="1">
      <alignment horizontal="left" vertical="center"/>
    </xf>
    <xf numFmtId="0" fontId="2" fillId="0" borderId="26" xfId="0" applyFont="1" applyBorder="1" applyAlignment="1">
      <alignment horizontal="left" vertical="center"/>
    </xf>
    <xf numFmtId="0" fontId="2" fillId="0" borderId="16" xfId="0" applyFont="1" applyBorder="1" applyAlignment="1">
      <alignment horizontal="center" vertical="center"/>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2" fillId="2" borderId="37" xfId="0" applyFont="1" applyFill="1" applyBorder="1" applyAlignment="1">
      <alignment horizontal="left" vertical="center" wrapText="1"/>
    </xf>
    <xf numFmtId="0" fontId="2" fillId="2" borderId="37" xfId="0" applyFont="1" applyFill="1" applyBorder="1" applyAlignment="1">
      <alignment horizontal="left" vertical="center"/>
    </xf>
    <xf numFmtId="0" fontId="2" fillId="0" borderId="12" xfId="0" applyFont="1" applyBorder="1" applyAlignment="1">
      <alignment horizontal="left" vertical="center"/>
    </xf>
    <xf numFmtId="0" fontId="2" fillId="0" borderId="13" xfId="0" applyFont="1" applyBorder="1" applyAlignment="1">
      <alignment horizontal="left" vertical="center"/>
    </xf>
    <xf numFmtId="0" fontId="9" fillId="0" borderId="56" xfId="0" applyFont="1" applyBorder="1" applyAlignment="1">
      <alignment horizontal="left" vertical="center"/>
    </xf>
  </cellXfs>
  <cellStyles count="1">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absoluteAnchor>
    <xdr:pos x="0" y="0"/>
    <xdr:ext cx="0" cy="0"/>
    <xdr:pic>
      <xdr:nvPicPr>
        <xdr:cNvPr id="2" name="Obrázek 4294967295">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a:noFill/>
        <a:ln w="9525">
          <a:noFill/>
        </a:ln>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0" cy="0"/>
    <xdr:pic>
      <xdr:nvPicPr>
        <xdr:cNvPr id="2" name="Obrázek 4294967295">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a:noFill/>
        <a:ln w="9525">
          <a:noFill/>
        </a:ln>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0" cy="0"/>
    <xdr:pic>
      <xdr:nvPicPr>
        <xdr:cNvPr id="2" name="Obrázek 4294967295">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a:noFill/>
        <a:ln w="9525">
          <a:noFill/>
        </a:ln>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0" cy="0"/>
    <xdr:pic>
      <xdr:nvPicPr>
        <xdr:cNvPr id="2" name="Obrázek 4294967295">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a:noFill/>
        <a:ln w="9525">
          <a:noFill/>
        </a:ln>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0" cy="0"/>
    <xdr:pic>
      <xdr:nvPicPr>
        <xdr:cNvPr id="2" name="Obrázek 4294967295">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a:noFill/>
        <a:ln w="9525">
          <a:noFill/>
        </a:ln>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0" cy="0"/>
    <xdr:pic>
      <xdr:nvPicPr>
        <xdr:cNvPr id="2" name="Obrázek 4294967295">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a:noFill/>
        <a:ln w="9525">
          <a:noFill/>
        </a:ln>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0" cy="0"/>
    <xdr:pic>
      <xdr:nvPicPr>
        <xdr:cNvPr id="2" name="Obrázek 4294967295">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a:noFill/>
        <a:ln w="9525">
          <a:noFill/>
        </a:ln>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0" cy="0"/>
    <xdr:pic>
      <xdr:nvPicPr>
        <xdr:cNvPr id="2" name="Obrázek 4294967295">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a:noFill/>
        <a:ln w="9525">
          <a:noFill/>
        </a:ln>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0" cy="0"/>
    <xdr:pic>
      <xdr:nvPicPr>
        <xdr:cNvPr id="2" name="Obrázek 4294967295">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a:noFill/>
        <a:ln w="9525">
          <a:noFill/>
        </a:ln>
      </xdr:spPr>
    </xdr:pic>
    <xdr:clientData/>
  </xdr:absolute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5"/>
  <sheetViews>
    <sheetView topLeftCell="A13" workbookViewId="0">
      <selection activeCell="I10" sqref="I10:I11"/>
    </sheetView>
  </sheetViews>
  <sheetFormatPr defaultColWidth="12.140625" defaultRowHeight="15" customHeight="1" x14ac:dyDescent="0.25"/>
  <cols>
    <col min="1" max="1" width="9.140625" customWidth="1"/>
    <col min="2" max="2" width="12.85546875" customWidth="1"/>
    <col min="3" max="3" width="27.140625" customWidth="1"/>
    <col min="4" max="4" width="10" customWidth="1"/>
    <col min="5" max="5" width="14" customWidth="1"/>
    <col min="6" max="6" width="27.140625" customWidth="1"/>
    <col min="7" max="7" width="9.140625" customWidth="1"/>
    <col min="8" max="8" width="12.85546875" customWidth="1"/>
    <col min="9" max="9" width="27.140625" customWidth="1"/>
  </cols>
  <sheetData>
    <row r="1" spans="1:9" ht="54.75" customHeight="1" x14ac:dyDescent="0.25">
      <c r="A1" s="140" t="s">
        <v>815</v>
      </c>
      <c r="B1" s="141"/>
      <c r="C1" s="141"/>
      <c r="D1" s="141"/>
      <c r="E1" s="141"/>
      <c r="F1" s="141"/>
      <c r="G1" s="141"/>
      <c r="H1" s="141"/>
      <c r="I1" s="141"/>
    </row>
    <row r="2" spans="1:9" x14ac:dyDescent="0.25">
      <c r="A2" s="142" t="s">
        <v>1</v>
      </c>
      <c r="B2" s="143"/>
      <c r="C2" s="148" t="str">
        <f>'Stavební rozpočet'!D2</f>
        <v>KD K-trio-Oprava sociálních zařízení a šaten</v>
      </c>
      <c r="D2" s="149"/>
      <c r="E2" s="139" t="s">
        <v>5</v>
      </c>
      <c r="F2" s="139" t="str">
        <f>'Stavební rozpočet'!J2</f>
        <v> </v>
      </c>
      <c r="G2" s="143"/>
      <c r="H2" s="139" t="s">
        <v>757</v>
      </c>
      <c r="I2" s="145" t="s">
        <v>50</v>
      </c>
    </row>
    <row r="3" spans="1:9" ht="15" customHeight="1" x14ac:dyDescent="0.25">
      <c r="A3" s="144"/>
      <c r="B3" s="107"/>
      <c r="C3" s="150"/>
      <c r="D3" s="150"/>
      <c r="E3" s="107"/>
      <c r="F3" s="107"/>
      <c r="G3" s="107"/>
      <c r="H3" s="107"/>
      <c r="I3" s="146"/>
    </row>
    <row r="4" spans="1:9" x14ac:dyDescent="0.25">
      <c r="A4" s="137" t="s">
        <v>7</v>
      </c>
      <c r="B4" s="107"/>
      <c r="C4" s="106" t="str">
        <f>'Stavební rozpočet'!D4</f>
        <v xml:space="preserve"> </v>
      </c>
      <c r="D4" s="107"/>
      <c r="E4" s="106" t="s">
        <v>9</v>
      </c>
      <c r="F4" s="106" t="str">
        <f>'Stavební rozpočet'!J4</f>
        <v> </v>
      </c>
      <c r="G4" s="107"/>
      <c r="H4" s="106" t="s">
        <v>757</v>
      </c>
      <c r="I4" s="146" t="s">
        <v>50</v>
      </c>
    </row>
    <row r="5" spans="1:9" ht="15" customHeight="1" x14ac:dyDescent="0.25">
      <c r="A5" s="144"/>
      <c r="B5" s="107"/>
      <c r="C5" s="107"/>
      <c r="D5" s="107"/>
      <c r="E5" s="107"/>
      <c r="F5" s="107"/>
      <c r="G5" s="107"/>
      <c r="H5" s="107"/>
      <c r="I5" s="146"/>
    </row>
    <row r="6" spans="1:9" x14ac:dyDescent="0.25">
      <c r="A6" s="137" t="s">
        <v>10</v>
      </c>
      <c r="B6" s="107"/>
      <c r="C6" s="106" t="str">
        <f>'Stavební rozpočet'!D6</f>
        <v xml:space="preserve"> </v>
      </c>
      <c r="D6" s="107"/>
      <c r="E6" s="106" t="s">
        <v>12</v>
      </c>
      <c r="F6" s="106" t="str">
        <f>'Stavební rozpočet'!J6</f>
        <v> </v>
      </c>
      <c r="G6" s="107"/>
      <c r="H6" s="106" t="s">
        <v>757</v>
      </c>
      <c r="I6" s="146" t="s">
        <v>50</v>
      </c>
    </row>
    <row r="7" spans="1:9" ht="15" customHeight="1" x14ac:dyDescent="0.25">
      <c r="A7" s="144"/>
      <c r="B7" s="107"/>
      <c r="C7" s="107"/>
      <c r="D7" s="107"/>
      <c r="E7" s="107"/>
      <c r="F7" s="107"/>
      <c r="G7" s="107"/>
      <c r="H7" s="107"/>
      <c r="I7" s="146"/>
    </row>
    <row r="8" spans="1:9" x14ac:dyDescent="0.25">
      <c r="A8" s="137" t="s">
        <v>8</v>
      </c>
      <c r="B8" s="107"/>
      <c r="C8" s="106"/>
      <c r="D8" s="107"/>
      <c r="E8" s="106" t="s">
        <v>11</v>
      </c>
      <c r="F8" s="106" t="str">
        <f>'Stavební rozpočet'!H6</f>
        <v xml:space="preserve"> </v>
      </c>
      <c r="G8" s="107"/>
      <c r="H8" s="107" t="s">
        <v>758</v>
      </c>
      <c r="I8" s="147">
        <v>148</v>
      </c>
    </row>
    <row r="9" spans="1:9" x14ac:dyDescent="0.25">
      <c r="A9" s="144"/>
      <c r="B9" s="107"/>
      <c r="C9" s="107"/>
      <c r="D9" s="107"/>
      <c r="E9" s="107"/>
      <c r="F9" s="107"/>
      <c r="G9" s="107"/>
      <c r="H9" s="107"/>
      <c r="I9" s="146"/>
    </row>
    <row r="10" spans="1:9" x14ac:dyDescent="0.25">
      <c r="A10" s="137" t="s">
        <v>13</v>
      </c>
      <c r="B10" s="107"/>
      <c r="C10" s="106" t="str">
        <f>'Stavební rozpočet'!D8</f>
        <v xml:space="preserve"> </v>
      </c>
      <c r="D10" s="107"/>
      <c r="E10" s="106" t="s">
        <v>15</v>
      </c>
      <c r="F10" s="106" t="str">
        <f>'Stavební rozpočet'!J8</f>
        <v> </v>
      </c>
      <c r="G10" s="107"/>
      <c r="H10" s="107" t="s">
        <v>759</v>
      </c>
      <c r="I10" s="131"/>
    </row>
    <row r="11" spans="1:9" x14ac:dyDescent="0.25">
      <c r="A11" s="138"/>
      <c r="B11" s="136"/>
      <c r="C11" s="136"/>
      <c r="D11" s="136"/>
      <c r="E11" s="136"/>
      <c r="F11" s="136"/>
      <c r="G11" s="136"/>
      <c r="H11" s="136"/>
      <c r="I11" s="132"/>
    </row>
    <row r="12" spans="1:9" ht="23.25" x14ac:dyDescent="0.25">
      <c r="A12" s="133" t="s">
        <v>760</v>
      </c>
      <c r="B12" s="133"/>
      <c r="C12" s="133"/>
      <c r="D12" s="133"/>
      <c r="E12" s="133"/>
      <c r="F12" s="133"/>
      <c r="G12" s="133"/>
      <c r="H12" s="133"/>
      <c r="I12" s="133"/>
    </row>
    <row r="13" spans="1:9" ht="26.25" customHeight="1" x14ac:dyDescent="0.25">
      <c r="A13" s="77" t="s">
        <v>761</v>
      </c>
      <c r="B13" s="134" t="s">
        <v>762</v>
      </c>
      <c r="C13" s="135"/>
      <c r="D13" s="78" t="s">
        <v>763</v>
      </c>
      <c r="E13" s="134" t="s">
        <v>764</v>
      </c>
      <c r="F13" s="135"/>
      <c r="G13" s="78" t="s">
        <v>765</v>
      </c>
      <c r="H13" s="134" t="s">
        <v>766</v>
      </c>
      <c r="I13" s="135"/>
    </row>
    <row r="14" spans="1:9" ht="15.75" x14ac:dyDescent="0.25">
      <c r="A14" s="79" t="s">
        <v>767</v>
      </c>
      <c r="B14" s="80" t="s">
        <v>768</v>
      </c>
      <c r="C14" s="81">
        <f>SUMIF('Stavební rozpočet'!AI12:AI230,"SO 02",'Stavební rozpočet'!AB12:AB230)</f>
        <v>0</v>
      </c>
      <c r="D14" s="120" t="s">
        <v>769</v>
      </c>
      <c r="E14" s="121"/>
      <c r="F14" s="81">
        <f>'VORN objektu (SO 02)'!I15</f>
        <v>0</v>
      </c>
      <c r="G14" s="120" t="s">
        <v>770</v>
      </c>
      <c r="H14" s="121"/>
      <c r="I14" s="81">
        <f>'VORN objektu (SO 02)'!I21</f>
        <v>0</v>
      </c>
    </row>
    <row r="15" spans="1:9" ht="15.75" x14ac:dyDescent="0.25">
      <c r="A15" s="82" t="s">
        <v>50</v>
      </c>
      <c r="B15" s="80" t="s">
        <v>33</v>
      </c>
      <c r="C15" s="81">
        <f>SUMIF('Stavební rozpočet'!AI12:AI230,"SO 02",'Stavební rozpočet'!AC12:AC230)</f>
        <v>0</v>
      </c>
      <c r="D15" s="120" t="s">
        <v>771</v>
      </c>
      <c r="E15" s="121"/>
      <c r="F15" s="81">
        <f>'VORN objektu (SO 02)'!I16</f>
        <v>0</v>
      </c>
      <c r="G15" s="120" t="s">
        <v>772</v>
      </c>
      <c r="H15" s="121"/>
      <c r="I15" s="81">
        <f>'VORN objektu (SO 02)'!I22</f>
        <v>0</v>
      </c>
    </row>
    <row r="16" spans="1:9" ht="15.75" x14ac:dyDescent="0.25">
      <c r="A16" s="79" t="s">
        <v>773</v>
      </c>
      <c r="B16" s="80" t="s">
        <v>768</v>
      </c>
      <c r="C16" s="81">
        <f>SUMIF('Stavební rozpočet'!AI12:AI230,"SO 02",'Stavební rozpočet'!AD12:AD230)</f>
        <v>0</v>
      </c>
      <c r="D16" s="120" t="s">
        <v>774</v>
      </c>
      <c r="E16" s="121"/>
      <c r="F16" s="81">
        <f>'VORN objektu (SO 02)'!I17</f>
        <v>0</v>
      </c>
      <c r="G16" s="120" t="s">
        <v>775</v>
      </c>
      <c r="H16" s="121"/>
      <c r="I16" s="81">
        <f>'VORN objektu (SO 02)'!I23</f>
        <v>0</v>
      </c>
    </row>
    <row r="17" spans="1:9" ht="15.75" x14ac:dyDescent="0.25">
      <c r="A17" s="82" t="s">
        <v>50</v>
      </c>
      <c r="B17" s="80" t="s">
        <v>33</v>
      </c>
      <c r="C17" s="81">
        <f>SUMIF('Stavební rozpočet'!AI12:AI230,"SO 02",'Stavební rozpočet'!AE12:AE230)</f>
        <v>0</v>
      </c>
      <c r="D17" s="120" t="s">
        <v>50</v>
      </c>
      <c r="E17" s="121"/>
      <c r="F17" s="83" t="s">
        <v>50</v>
      </c>
      <c r="G17" s="120" t="s">
        <v>776</v>
      </c>
      <c r="H17" s="121"/>
      <c r="I17" s="81">
        <f>'VORN objektu (SO 02)'!I24</f>
        <v>0</v>
      </c>
    </row>
    <row r="18" spans="1:9" ht="15.75" x14ac:dyDescent="0.25">
      <c r="A18" s="79" t="s">
        <v>777</v>
      </c>
      <c r="B18" s="80" t="s">
        <v>768</v>
      </c>
      <c r="C18" s="81">
        <f>SUMIF('Stavební rozpočet'!AI12:AI230,"SO 02",'Stavební rozpočet'!AF12:AF230)</f>
        <v>0</v>
      </c>
      <c r="D18" s="120" t="s">
        <v>50</v>
      </c>
      <c r="E18" s="121"/>
      <c r="F18" s="83" t="s">
        <v>50</v>
      </c>
      <c r="G18" s="120" t="s">
        <v>778</v>
      </c>
      <c r="H18" s="121"/>
      <c r="I18" s="81">
        <f>'VORN objektu (SO 02)'!I25</f>
        <v>0</v>
      </c>
    </row>
    <row r="19" spans="1:9" ht="15.75" x14ac:dyDescent="0.25">
      <c r="A19" s="82" t="s">
        <v>50</v>
      </c>
      <c r="B19" s="80" t="s">
        <v>33</v>
      </c>
      <c r="C19" s="81">
        <f>SUMIF('Stavební rozpočet'!AI12:AI230,"SO 02",'Stavební rozpočet'!AG12:AG230)</f>
        <v>0</v>
      </c>
      <c r="D19" s="120" t="s">
        <v>50</v>
      </c>
      <c r="E19" s="121"/>
      <c r="F19" s="83" t="s">
        <v>50</v>
      </c>
      <c r="G19" s="120" t="s">
        <v>779</v>
      </c>
      <c r="H19" s="121"/>
      <c r="I19" s="81">
        <f>'VORN objektu (SO 02)'!I26</f>
        <v>0</v>
      </c>
    </row>
    <row r="20" spans="1:9" ht="15.75" x14ac:dyDescent="0.25">
      <c r="A20" s="126" t="s">
        <v>780</v>
      </c>
      <c r="B20" s="127"/>
      <c r="C20" s="81">
        <f>SUMIF('Stavební rozpočet'!AI12:AI230,"SO 02",'Stavební rozpočet'!AH12:AH230)</f>
        <v>0</v>
      </c>
      <c r="D20" s="120" t="s">
        <v>50</v>
      </c>
      <c r="E20" s="121"/>
      <c r="F20" s="83" t="s">
        <v>50</v>
      </c>
      <c r="G20" s="120" t="s">
        <v>50</v>
      </c>
      <c r="H20" s="121"/>
      <c r="I20" s="83" t="s">
        <v>50</v>
      </c>
    </row>
    <row r="21" spans="1:9" ht="15.75" x14ac:dyDescent="0.25">
      <c r="A21" s="128" t="s">
        <v>781</v>
      </c>
      <c r="B21" s="129"/>
      <c r="C21" s="81">
        <f>SUMIF('Stavební rozpočet'!AI12:AI230,"SO 02",'Stavební rozpočet'!Z12:Z230)</f>
        <v>0</v>
      </c>
      <c r="D21" s="122" t="s">
        <v>50</v>
      </c>
      <c r="E21" s="123"/>
      <c r="F21" s="85" t="s">
        <v>50</v>
      </c>
      <c r="G21" s="122" t="s">
        <v>50</v>
      </c>
      <c r="H21" s="123"/>
      <c r="I21" s="85" t="s">
        <v>50</v>
      </c>
    </row>
    <row r="22" spans="1:9" ht="16.5" customHeight="1" x14ac:dyDescent="0.25">
      <c r="A22" s="130" t="s">
        <v>782</v>
      </c>
      <c r="B22" s="125"/>
      <c r="C22" s="81">
        <f>SUM(C14:C21)</f>
        <v>0</v>
      </c>
      <c r="D22" s="124" t="s">
        <v>783</v>
      </c>
      <c r="E22" s="125"/>
      <c r="F22" s="86">
        <f>SUM(F14:F21)</f>
        <v>0</v>
      </c>
      <c r="G22" s="124" t="s">
        <v>784</v>
      </c>
      <c r="H22" s="125"/>
      <c r="I22" s="86">
        <f>SUM(I14:I21)</f>
        <v>0</v>
      </c>
    </row>
    <row r="23" spans="1:9" ht="15.75" x14ac:dyDescent="0.25">
      <c r="G23" s="126" t="s">
        <v>787</v>
      </c>
      <c r="H23" s="127"/>
      <c r="I23" s="81">
        <f>'VORN objektu (SO 02)'!I36</f>
        <v>0</v>
      </c>
    </row>
    <row r="25" spans="1:9" ht="15.75" x14ac:dyDescent="0.25">
      <c r="A25" s="118" t="s">
        <v>789</v>
      </c>
      <c r="B25" s="111"/>
      <c r="C25" s="87">
        <f>('Stavební rozpočet'!AS13+'Stavební rozpočet'!AS17+'Stavební rozpočet'!AS59+'Stavební rozpočet'!AS90+'Stavební rozpočet'!AS92+'Stavební rozpočet'!AS100+'Stavební rozpočet'!AS109+'Stavební rozpočet'!AS118+'Stavební rozpočet'!AS122+'Stavební rozpočet'!AS128+'Stavební rozpočet'!AS131+'Stavební rozpočet'!AS151+'Stavební rozpočet'!AS167+'Stavební rozpočet'!AS194+'Stavební rozpočet'!AS196+'Stavební rozpočet'!AS198+'Stavební rozpočet'!AS207+'Stavební rozpočet'!AS214+'Stavební rozpočet'!AS219+'Stavební rozpočet'!AS229)</f>
        <v>0</v>
      </c>
    </row>
    <row r="26" spans="1:9" ht="15.75" x14ac:dyDescent="0.25">
      <c r="A26" s="119" t="s">
        <v>790</v>
      </c>
      <c r="B26" s="113"/>
      <c r="C26" s="88">
        <f>('Stavební rozpočet'!AT13+'Stavební rozpočet'!AT17+'Stavební rozpočet'!AT59+'Stavební rozpočet'!AT90+'Stavební rozpočet'!AT92+'Stavební rozpočet'!AT100+'Stavební rozpočet'!AT109+'Stavební rozpočet'!AT118+'Stavební rozpočet'!AT122+'Stavební rozpočet'!AT128+'Stavební rozpočet'!AT131+'Stavební rozpočet'!AT151+'Stavební rozpočet'!AT167+'Stavební rozpočet'!AT194+'Stavební rozpočet'!AT196+'Stavební rozpočet'!AT198+'Stavební rozpočet'!AT207+'Stavební rozpočet'!AT214+'Stavební rozpočet'!AT219+'Stavební rozpočet'!AT229)</f>
        <v>0</v>
      </c>
      <c r="D26" s="110" t="s">
        <v>791</v>
      </c>
      <c r="E26" s="111"/>
      <c r="F26" s="87">
        <f>ROUND(C26*(12/100),2)</f>
        <v>0</v>
      </c>
      <c r="G26" s="110" t="s">
        <v>792</v>
      </c>
      <c r="H26" s="111"/>
      <c r="I26" s="87">
        <f>SUM(C25:C27)</f>
        <v>0</v>
      </c>
    </row>
    <row r="27" spans="1:9" ht="15.75" x14ac:dyDescent="0.25">
      <c r="A27" s="119" t="s">
        <v>793</v>
      </c>
      <c r="B27" s="113"/>
      <c r="C27" s="88">
        <f>('Stavební rozpočet'!AU13+'Stavební rozpočet'!AU17+'Stavební rozpočet'!AU59+'Stavební rozpočet'!AU90+'Stavební rozpočet'!AU92+'Stavební rozpočet'!AU100+'Stavební rozpočet'!AU109+'Stavební rozpočet'!AU118+'Stavební rozpočet'!AU122+'Stavební rozpočet'!AU128+'Stavební rozpočet'!AU131+'Stavební rozpočet'!AU151+'Stavební rozpočet'!AU167+'Stavební rozpočet'!AU194+'Stavební rozpočet'!AU196+'Stavební rozpočet'!AU198+'Stavební rozpočet'!AU207+'Stavební rozpočet'!AU214+'Stavební rozpočet'!AU219+'Stavební rozpočet'!AU229)+(F22+I22+F23+I23+I24)</f>
        <v>0</v>
      </c>
      <c r="D27" s="112" t="s">
        <v>794</v>
      </c>
      <c r="E27" s="113"/>
      <c r="F27" s="88">
        <f>ROUND(C27*(21/100),2)</f>
        <v>0</v>
      </c>
      <c r="G27" s="112" t="s">
        <v>795</v>
      </c>
      <c r="H27" s="113"/>
      <c r="I27" s="88">
        <f>SUM(F26:F27)+I26</f>
        <v>0</v>
      </c>
    </row>
    <row r="29" spans="1:9" x14ac:dyDescent="0.25">
      <c r="A29" s="114" t="s">
        <v>796</v>
      </c>
      <c r="B29" s="115"/>
      <c r="C29" s="116"/>
      <c r="D29" s="117" t="s">
        <v>797</v>
      </c>
      <c r="E29" s="115"/>
      <c r="F29" s="116"/>
      <c r="G29" s="117" t="s">
        <v>798</v>
      </c>
      <c r="H29" s="115"/>
      <c r="I29" s="116"/>
    </row>
    <row r="30" spans="1:9" x14ac:dyDescent="0.25">
      <c r="A30" s="108" t="s">
        <v>50</v>
      </c>
      <c r="B30" s="101"/>
      <c r="C30" s="102"/>
      <c r="D30" s="100" t="s">
        <v>50</v>
      </c>
      <c r="E30" s="101"/>
      <c r="F30" s="102"/>
      <c r="G30" s="100" t="s">
        <v>50</v>
      </c>
      <c r="H30" s="101"/>
      <c r="I30" s="102"/>
    </row>
    <row r="31" spans="1:9" x14ac:dyDescent="0.25">
      <c r="A31" s="108" t="s">
        <v>50</v>
      </c>
      <c r="B31" s="101"/>
      <c r="C31" s="102"/>
      <c r="D31" s="100" t="s">
        <v>50</v>
      </c>
      <c r="E31" s="101"/>
      <c r="F31" s="102"/>
      <c r="G31" s="100" t="s">
        <v>50</v>
      </c>
      <c r="H31" s="101"/>
      <c r="I31" s="102"/>
    </row>
    <row r="32" spans="1:9" x14ac:dyDescent="0.25">
      <c r="A32" s="108" t="s">
        <v>50</v>
      </c>
      <c r="B32" s="101"/>
      <c r="C32" s="102"/>
      <c r="D32" s="100" t="s">
        <v>50</v>
      </c>
      <c r="E32" s="101"/>
      <c r="F32" s="102"/>
      <c r="G32" s="100" t="s">
        <v>50</v>
      </c>
      <c r="H32" s="101"/>
      <c r="I32" s="102"/>
    </row>
    <row r="33" spans="1:9" x14ac:dyDescent="0.25">
      <c r="A33" s="109" t="s">
        <v>799</v>
      </c>
      <c r="B33" s="104"/>
      <c r="C33" s="105"/>
      <c r="D33" s="103" t="s">
        <v>799</v>
      </c>
      <c r="E33" s="104"/>
      <c r="F33" s="105"/>
      <c r="G33" s="103" t="s">
        <v>799</v>
      </c>
      <c r="H33" s="104"/>
      <c r="I33" s="105"/>
    </row>
    <row r="34" spans="1:9" x14ac:dyDescent="0.25">
      <c r="A34" s="89" t="s">
        <v>600</v>
      </c>
    </row>
    <row r="35" spans="1:9" ht="12.75" customHeight="1" x14ac:dyDescent="0.25">
      <c r="A35" s="106" t="s">
        <v>50</v>
      </c>
      <c r="B35" s="107"/>
      <c r="C35" s="107"/>
      <c r="D35" s="107"/>
      <c r="E35" s="107"/>
      <c r="F35" s="107"/>
      <c r="G35" s="107"/>
      <c r="H35" s="107"/>
      <c r="I35" s="107"/>
    </row>
  </sheetData>
  <sheetProtection password="E9AE" sheet="1" objects="1" scenarios="1"/>
  <mergeCells count="80">
    <mergeCell ref="A1:I1"/>
    <mergeCell ref="A2:B3"/>
    <mergeCell ref="A4:B5"/>
    <mergeCell ref="A6:B7"/>
    <mergeCell ref="A8:B9"/>
    <mergeCell ref="F2:G3"/>
    <mergeCell ref="F4:G5"/>
    <mergeCell ref="F6:G7"/>
    <mergeCell ref="F8:G9"/>
    <mergeCell ref="I2:I3"/>
    <mergeCell ref="I4:I5"/>
    <mergeCell ref="I6:I7"/>
    <mergeCell ref="I8:I9"/>
    <mergeCell ref="C2:D3"/>
    <mergeCell ref="C4:D5"/>
    <mergeCell ref="C6:D7"/>
    <mergeCell ref="C8:D9"/>
    <mergeCell ref="C10:D11"/>
    <mergeCell ref="E2:E3"/>
    <mergeCell ref="E4:E5"/>
    <mergeCell ref="E6:E7"/>
    <mergeCell ref="E8:E9"/>
    <mergeCell ref="E10:E11"/>
    <mergeCell ref="H2:H3"/>
    <mergeCell ref="H4:H5"/>
    <mergeCell ref="H6:H7"/>
    <mergeCell ref="H8:H9"/>
    <mergeCell ref="H10:H11"/>
    <mergeCell ref="I10:I11"/>
    <mergeCell ref="A12:I12"/>
    <mergeCell ref="B13:C13"/>
    <mergeCell ref="E13:F13"/>
    <mergeCell ref="H13:I13"/>
    <mergeCell ref="F10:G11"/>
    <mergeCell ref="A10:B11"/>
    <mergeCell ref="A20:B20"/>
    <mergeCell ref="A21:B21"/>
    <mergeCell ref="A22:B22"/>
    <mergeCell ref="D14:E14"/>
    <mergeCell ref="D15:E15"/>
    <mergeCell ref="D16:E16"/>
    <mergeCell ref="D17:E17"/>
    <mergeCell ref="D18:E18"/>
    <mergeCell ref="D19:E19"/>
    <mergeCell ref="D20:E20"/>
    <mergeCell ref="D21:E21"/>
    <mergeCell ref="D22:E22"/>
    <mergeCell ref="G14:H14"/>
    <mergeCell ref="G15:H15"/>
    <mergeCell ref="G16:H16"/>
    <mergeCell ref="G17:H17"/>
    <mergeCell ref="G18:H18"/>
    <mergeCell ref="G19:H19"/>
    <mergeCell ref="G20:H20"/>
    <mergeCell ref="G21:H21"/>
    <mergeCell ref="G22:H22"/>
    <mergeCell ref="G23:H23"/>
    <mergeCell ref="A25:B25"/>
    <mergeCell ref="A26:B26"/>
    <mergeCell ref="A27:B27"/>
    <mergeCell ref="D26:E26"/>
    <mergeCell ref="D27:E27"/>
    <mergeCell ref="G26:H26"/>
    <mergeCell ref="G27:H27"/>
    <mergeCell ref="A29:C29"/>
    <mergeCell ref="A30:C30"/>
    <mergeCell ref="A31:C31"/>
    <mergeCell ref="G29:I29"/>
    <mergeCell ref="G30:I30"/>
    <mergeCell ref="G31:I31"/>
    <mergeCell ref="D29:F29"/>
    <mergeCell ref="D30:F30"/>
    <mergeCell ref="D31:F31"/>
    <mergeCell ref="D32:F32"/>
    <mergeCell ref="D33:F33"/>
    <mergeCell ref="G32:I32"/>
    <mergeCell ref="G33:I33"/>
    <mergeCell ref="A35:I35"/>
    <mergeCell ref="A32:C32"/>
    <mergeCell ref="A33:C33"/>
  </mergeCells>
  <pageMargins left="0.393999993801117" right="0.393999993801117" top="0.59100002050399802" bottom="0.59100002050399802" header="0" footer="0"/>
  <pageSetup orientation="landscape"/>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36"/>
  <sheetViews>
    <sheetView workbookViewId="0">
      <selection activeCell="K36" sqref="K36"/>
    </sheetView>
  </sheetViews>
  <sheetFormatPr defaultColWidth="12.140625" defaultRowHeight="15" customHeight="1" x14ac:dyDescent="0.25"/>
  <cols>
    <col min="1" max="1" width="9.140625" customWidth="1"/>
    <col min="2" max="2" width="12.85546875" customWidth="1"/>
    <col min="3" max="3" width="22.85546875" customWidth="1"/>
    <col min="4" max="4" width="10" customWidth="1"/>
    <col min="5" max="5" width="14" customWidth="1"/>
    <col min="6" max="6" width="22.85546875" customWidth="1"/>
    <col min="7" max="7" width="9.140625" customWidth="1"/>
    <col min="8" max="8" width="17.140625" customWidth="1"/>
    <col min="9" max="9" width="22.85546875" customWidth="1"/>
  </cols>
  <sheetData>
    <row r="1" spans="1:9" ht="54.75" customHeight="1" x14ac:dyDescent="0.25">
      <c r="A1" s="140" t="s">
        <v>816</v>
      </c>
      <c r="B1" s="141"/>
      <c r="C1" s="141"/>
      <c r="D1" s="141"/>
      <c r="E1" s="141"/>
      <c r="F1" s="141"/>
      <c r="G1" s="141"/>
      <c r="H1" s="141"/>
      <c r="I1" s="141"/>
    </row>
    <row r="2" spans="1:9" x14ac:dyDescent="0.25">
      <c r="A2" s="142" t="s">
        <v>1</v>
      </c>
      <c r="B2" s="143"/>
      <c r="C2" s="148" t="str">
        <f>'Stavební rozpočet'!D2</f>
        <v>KD K-trio-Oprava sociálních zařízení a šaten</v>
      </c>
      <c r="D2" s="149"/>
      <c r="E2" s="139" t="s">
        <v>5</v>
      </c>
      <c r="F2" s="139" t="str">
        <f>'Stavební rozpočet'!J2</f>
        <v> </v>
      </c>
      <c r="G2" s="143"/>
      <c r="H2" s="139" t="s">
        <v>757</v>
      </c>
      <c r="I2" s="145" t="s">
        <v>50</v>
      </c>
    </row>
    <row r="3" spans="1:9" ht="15" customHeight="1" x14ac:dyDescent="0.25">
      <c r="A3" s="144"/>
      <c r="B3" s="107"/>
      <c r="C3" s="150"/>
      <c r="D3" s="150"/>
      <c r="E3" s="107"/>
      <c r="F3" s="107"/>
      <c r="G3" s="107"/>
      <c r="H3" s="107"/>
      <c r="I3" s="146"/>
    </row>
    <row r="4" spans="1:9" x14ac:dyDescent="0.25">
      <c r="A4" s="137" t="s">
        <v>7</v>
      </c>
      <c r="B4" s="107"/>
      <c r="C4" s="106" t="str">
        <f>'Stavební rozpočet'!D4</f>
        <v xml:space="preserve"> </v>
      </c>
      <c r="D4" s="107"/>
      <c r="E4" s="106" t="s">
        <v>9</v>
      </c>
      <c r="F4" s="106" t="str">
        <f>'Stavební rozpočet'!J4</f>
        <v> </v>
      </c>
      <c r="G4" s="107"/>
      <c r="H4" s="106" t="s">
        <v>757</v>
      </c>
      <c r="I4" s="146" t="s">
        <v>50</v>
      </c>
    </row>
    <row r="5" spans="1:9" ht="15" customHeight="1" x14ac:dyDescent="0.25">
      <c r="A5" s="144"/>
      <c r="B5" s="107"/>
      <c r="C5" s="107"/>
      <c r="D5" s="107"/>
      <c r="E5" s="107"/>
      <c r="F5" s="107"/>
      <c r="G5" s="107"/>
      <c r="H5" s="107"/>
      <c r="I5" s="146"/>
    </row>
    <row r="6" spans="1:9" x14ac:dyDescent="0.25">
      <c r="A6" s="137" t="s">
        <v>10</v>
      </c>
      <c r="B6" s="107"/>
      <c r="C6" s="106" t="str">
        <f>'Stavební rozpočet'!D6</f>
        <v xml:space="preserve"> </v>
      </c>
      <c r="D6" s="107"/>
      <c r="E6" s="106" t="s">
        <v>12</v>
      </c>
      <c r="F6" s="106" t="str">
        <f>'Stavební rozpočet'!J6</f>
        <v> </v>
      </c>
      <c r="G6" s="107"/>
      <c r="H6" s="106" t="s">
        <v>757</v>
      </c>
      <c r="I6" s="146" t="s">
        <v>50</v>
      </c>
    </row>
    <row r="7" spans="1:9" ht="15" customHeight="1" x14ac:dyDescent="0.25">
      <c r="A7" s="144"/>
      <c r="B7" s="107"/>
      <c r="C7" s="107"/>
      <c r="D7" s="107"/>
      <c r="E7" s="107"/>
      <c r="F7" s="107"/>
      <c r="G7" s="107"/>
      <c r="H7" s="107"/>
      <c r="I7" s="146"/>
    </row>
    <row r="8" spans="1:9" x14ac:dyDescent="0.25">
      <c r="A8" s="137" t="s">
        <v>8</v>
      </c>
      <c r="B8" s="107"/>
      <c r="C8" s="106"/>
      <c r="D8" s="107"/>
      <c r="E8" s="106" t="s">
        <v>11</v>
      </c>
      <c r="F8" s="106" t="str">
        <f>'Stavební rozpočet'!H6</f>
        <v xml:space="preserve"> </v>
      </c>
      <c r="G8" s="107"/>
      <c r="H8" s="107" t="s">
        <v>758</v>
      </c>
      <c r="I8" s="147">
        <v>148</v>
      </c>
    </row>
    <row r="9" spans="1:9" x14ac:dyDescent="0.25">
      <c r="A9" s="144"/>
      <c r="B9" s="107"/>
      <c r="C9" s="107"/>
      <c r="D9" s="107"/>
      <c r="E9" s="107"/>
      <c r="F9" s="107"/>
      <c r="G9" s="107"/>
      <c r="H9" s="107"/>
      <c r="I9" s="146"/>
    </row>
    <row r="10" spans="1:9" x14ac:dyDescent="0.25">
      <c r="A10" s="137" t="s">
        <v>13</v>
      </c>
      <c r="B10" s="107"/>
      <c r="C10" s="106" t="str">
        <f>'Stavební rozpočet'!D8</f>
        <v xml:space="preserve"> </v>
      </c>
      <c r="D10" s="107"/>
      <c r="E10" s="106" t="s">
        <v>15</v>
      </c>
      <c r="F10" s="106" t="str">
        <f>'Stavební rozpočet'!J8</f>
        <v> </v>
      </c>
      <c r="G10" s="107"/>
      <c r="H10" s="107" t="s">
        <v>759</v>
      </c>
      <c r="I10" s="131"/>
    </row>
    <row r="11" spans="1:9" x14ac:dyDescent="0.25">
      <c r="A11" s="138"/>
      <c r="B11" s="136"/>
      <c r="C11" s="136"/>
      <c r="D11" s="136"/>
      <c r="E11" s="136"/>
      <c r="F11" s="136"/>
      <c r="G11" s="136"/>
      <c r="H11" s="136"/>
      <c r="I11" s="132"/>
    </row>
    <row r="13" spans="1:9" ht="15.75" x14ac:dyDescent="0.25">
      <c r="A13" s="160" t="s">
        <v>801</v>
      </c>
      <c r="B13" s="160"/>
      <c r="C13" s="160"/>
      <c r="D13" s="160"/>
      <c r="E13" s="160"/>
    </row>
    <row r="14" spans="1:9" hidden="1" x14ac:dyDescent="0.25">
      <c r="A14" s="161" t="s">
        <v>802</v>
      </c>
      <c r="B14" s="162"/>
      <c r="C14" s="162"/>
      <c r="D14" s="162"/>
      <c r="E14" s="163"/>
      <c r="F14" s="90" t="s">
        <v>803</v>
      </c>
      <c r="G14" s="90" t="s">
        <v>804</v>
      </c>
      <c r="H14" s="90" t="s">
        <v>805</v>
      </c>
      <c r="I14" s="90" t="s">
        <v>803</v>
      </c>
    </row>
    <row r="15" spans="1:9" hidden="1" x14ac:dyDescent="0.25">
      <c r="A15" s="167" t="s">
        <v>769</v>
      </c>
      <c r="B15" s="168"/>
      <c r="C15" s="168"/>
      <c r="D15" s="168"/>
      <c r="E15" s="169"/>
      <c r="F15" s="91">
        <v>0</v>
      </c>
      <c r="G15" s="92" t="s">
        <v>50</v>
      </c>
      <c r="H15" s="92" t="s">
        <v>50</v>
      </c>
      <c r="I15" s="91">
        <f>F15</f>
        <v>0</v>
      </c>
    </row>
    <row r="16" spans="1:9" hidden="1" x14ac:dyDescent="0.25">
      <c r="A16" s="167" t="s">
        <v>771</v>
      </c>
      <c r="B16" s="168"/>
      <c r="C16" s="168"/>
      <c r="D16" s="168"/>
      <c r="E16" s="169"/>
      <c r="F16" s="91">
        <v>0</v>
      </c>
      <c r="G16" s="92" t="s">
        <v>50</v>
      </c>
      <c r="H16" s="92" t="s">
        <v>50</v>
      </c>
      <c r="I16" s="91">
        <f>F16</f>
        <v>0</v>
      </c>
    </row>
    <row r="17" spans="1:9" hidden="1" x14ac:dyDescent="0.25">
      <c r="A17" s="164" t="s">
        <v>774</v>
      </c>
      <c r="B17" s="165"/>
      <c r="C17" s="165"/>
      <c r="D17" s="165"/>
      <c r="E17" s="166"/>
      <c r="F17" s="93">
        <v>0</v>
      </c>
      <c r="G17" s="94" t="s">
        <v>50</v>
      </c>
      <c r="H17" s="94" t="s">
        <v>50</v>
      </c>
      <c r="I17" s="93">
        <f>F17</f>
        <v>0</v>
      </c>
    </row>
    <row r="18" spans="1:9" hidden="1" x14ac:dyDescent="0.25">
      <c r="A18" s="151" t="s">
        <v>806</v>
      </c>
      <c r="B18" s="152"/>
      <c r="C18" s="152"/>
      <c r="D18" s="152"/>
      <c r="E18" s="153"/>
      <c r="F18" s="95" t="s">
        <v>50</v>
      </c>
      <c r="G18" s="96" t="s">
        <v>50</v>
      </c>
      <c r="H18" s="96" t="s">
        <v>50</v>
      </c>
      <c r="I18" s="97">
        <f>SUM(I15:I17)</f>
        <v>0</v>
      </c>
    </row>
    <row r="20" spans="1:9" x14ac:dyDescent="0.25">
      <c r="A20" s="161" t="s">
        <v>766</v>
      </c>
      <c r="B20" s="162"/>
      <c r="C20" s="162"/>
      <c r="D20" s="162"/>
      <c r="E20" s="163"/>
      <c r="F20" s="90" t="s">
        <v>803</v>
      </c>
      <c r="G20" s="90" t="s">
        <v>804</v>
      </c>
      <c r="H20" s="90" t="s">
        <v>805</v>
      </c>
      <c r="I20" s="90" t="s">
        <v>803</v>
      </c>
    </row>
    <row r="21" spans="1:9" x14ac:dyDescent="0.25">
      <c r="A21" s="167" t="s">
        <v>770</v>
      </c>
      <c r="B21" s="168"/>
      <c r="C21" s="168"/>
      <c r="D21" s="168"/>
      <c r="E21" s="169"/>
      <c r="F21" s="92" t="s">
        <v>50</v>
      </c>
      <c r="G21" s="91">
        <v>1</v>
      </c>
      <c r="H21" s="91">
        <f>'Krycí list rozpočtu (SO 02)'!C22</f>
        <v>0</v>
      </c>
      <c r="I21" s="91">
        <f>ROUND((G21/100)*H21,2)</f>
        <v>0</v>
      </c>
    </row>
    <row r="22" spans="1:9" hidden="1" x14ac:dyDescent="0.25">
      <c r="A22" s="167" t="s">
        <v>772</v>
      </c>
      <c r="B22" s="168"/>
      <c r="C22" s="168"/>
      <c r="D22" s="168"/>
      <c r="E22" s="169"/>
      <c r="F22" s="91">
        <v>0</v>
      </c>
      <c r="G22" s="92" t="s">
        <v>50</v>
      </c>
      <c r="H22" s="92" t="s">
        <v>50</v>
      </c>
      <c r="I22" s="91">
        <f>F22</f>
        <v>0</v>
      </c>
    </row>
    <row r="23" spans="1:9" hidden="1" x14ac:dyDescent="0.25">
      <c r="A23" s="167" t="s">
        <v>775</v>
      </c>
      <c r="B23" s="168"/>
      <c r="C23" s="168"/>
      <c r="D23" s="168"/>
      <c r="E23" s="169"/>
      <c r="F23" s="91">
        <v>0</v>
      </c>
      <c r="G23" s="92" t="s">
        <v>50</v>
      </c>
      <c r="H23" s="92" t="s">
        <v>50</v>
      </c>
      <c r="I23" s="91">
        <f>F23</f>
        <v>0</v>
      </c>
    </row>
    <row r="24" spans="1:9" hidden="1" x14ac:dyDescent="0.25">
      <c r="A24" s="167" t="s">
        <v>776</v>
      </c>
      <c r="B24" s="168"/>
      <c r="C24" s="168"/>
      <c r="D24" s="168"/>
      <c r="E24" s="169"/>
      <c r="F24" s="91">
        <v>0</v>
      </c>
      <c r="G24" s="92" t="s">
        <v>50</v>
      </c>
      <c r="H24" s="92" t="s">
        <v>50</v>
      </c>
      <c r="I24" s="91">
        <f>F24</f>
        <v>0</v>
      </c>
    </row>
    <row r="25" spans="1:9" hidden="1" x14ac:dyDescent="0.25">
      <c r="A25" s="167" t="s">
        <v>778</v>
      </c>
      <c r="B25" s="168"/>
      <c r="C25" s="168"/>
      <c r="D25" s="168"/>
      <c r="E25" s="169"/>
      <c r="F25" s="91">
        <v>0</v>
      </c>
      <c r="G25" s="92" t="s">
        <v>50</v>
      </c>
      <c r="H25" s="92" t="s">
        <v>50</v>
      </c>
      <c r="I25" s="91">
        <f>F25</f>
        <v>0</v>
      </c>
    </row>
    <row r="26" spans="1:9" hidden="1" x14ac:dyDescent="0.25">
      <c r="A26" s="164" t="s">
        <v>779</v>
      </c>
      <c r="B26" s="165"/>
      <c r="C26" s="165"/>
      <c r="D26" s="165"/>
      <c r="E26" s="166"/>
      <c r="F26" s="93">
        <v>0</v>
      </c>
      <c r="G26" s="94" t="s">
        <v>50</v>
      </c>
      <c r="H26" s="94" t="s">
        <v>50</v>
      </c>
      <c r="I26" s="93">
        <f>F26</f>
        <v>0</v>
      </c>
    </row>
    <row r="27" spans="1:9" x14ac:dyDescent="0.25">
      <c r="A27" s="151" t="s">
        <v>807</v>
      </c>
      <c r="B27" s="152"/>
      <c r="C27" s="152"/>
      <c r="D27" s="152"/>
      <c r="E27" s="153"/>
      <c r="F27" s="95" t="s">
        <v>50</v>
      </c>
      <c r="G27" s="96" t="s">
        <v>50</v>
      </c>
      <c r="H27" s="96" t="s">
        <v>50</v>
      </c>
      <c r="I27" s="97">
        <f>SUM(I21:I26)</f>
        <v>0</v>
      </c>
    </row>
    <row r="29" spans="1:9" ht="15.75" x14ac:dyDescent="0.25">
      <c r="A29" s="154" t="s">
        <v>808</v>
      </c>
      <c r="B29" s="155"/>
      <c r="C29" s="155"/>
      <c r="D29" s="155"/>
      <c r="E29" s="156"/>
      <c r="F29" s="157">
        <f>I18+I27</f>
        <v>0</v>
      </c>
      <c r="G29" s="158"/>
      <c r="H29" s="158"/>
      <c r="I29" s="159"/>
    </row>
    <row r="33" spans="1:9" ht="15.75" x14ac:dyDescent="0.25">
      <c r="A33" s="160" t="s">
        <v>809</v>
      </c>
      <c r="B33" s="160"/>
      <c r="C33" s="160"/>
      <c r="D33" s="160"/>
      <c r="E33" s="160"/>
    </row>
    <row r="34" spans="1:9" x14ac:dyDescent="0.25">
      <c r="A34" s="161" t="s">
        <v>810</v>
      </c>
      <c r="B34" s="162"/>
      <c r="C34" s="162"/>
      <c r="D34" s="162"/>
      <c r="E34" s="163"/>
      <c r="F34" s="90" t="s">
        <v>803</v>
      </c>
      <c r="G34" s="90" t="s">
        <v>804</v>
      </c>
      <c r="H34" s="90" t="s">
        <v>805</v>
      </c>
      <c r="I34" s="90" t="s">
        <v>803</v>
      </c>
    </row>
    <row r="35" spans="1:9" x14ac:dyDescent="0.25">
      <c r="A35" s="164" t="s">
        <v>814</v>
      </c>
      <c r="B35" s="165"/>
      <c r="C35" s="165"/>
      <c r="D35" s="165"/>
      <c r="E35" s="166"/>
      <c r="F35" s="94" t="s">
        <v>50</v>
      </c>
      <c r="G35" s="93">
        <v>1.5</v>
      </c>
      <c r="H35" s="93">
        <f>'Krycí list rozpočtu (SO 02)'!C22</f>
        <v>0</v>
      </c>
      <c r="I35" s="93">
        <f>ROUND((G35/100)*H35,2)</f>
        <v>0</v>
      </c>
    </row>
    <row r="36" spans="1:9" x14ac:dyDescent="0.25">
      <c r="A36" s="151" t="s">
        <v>811</v>
      </c>
      <c r="B36" s="152"/>
      <c r="C36" s="152"/>
      <c r="D36" s="152"/>
      <c r="E36" s="153"/>
      <c r="F36" s="95" t="s">
        <v>50</v>
      </c>
      <c r="G36" s="96" t="s">
        <v>50</v>
      </c>
      <c r="H36" s="96" t="s">
        <v>50</v>
      </c>
      <c r="I36" s="97">
        <f>SUM(I35:I35)</f>
        <v>0</v>
      </c>
    </row>
  </sheetData>
  <sheetProtection password="E9AE" sheet="1" objects="1" scenarios="1"/>
  <mergeCells count="51">
    <mergeCell ref="A1:I1"/>
    <mergeCell ref="A2:B3"/>
    <mergeCell ref="A4:B5"/>
    <mergeCell ref="A6:B7"/>
    <mergeCell ref="A8:B9"/>
    <mergeCell ref="H2:H3"/>
    <mergeCell ref="H4:H5"/>
    <mergeCell ref="H6:H7"/>
    <mergeCell ref="H8:H9"/>
    <mergeCell ref="I2:I3"/>
    <mergeCell ref="I4:I5"/>
    <mergeCell ref="I6:I7"/>
    <mergeCell ref="I8:I9"/>
    <mergeCell ref="E2:E3"/>
    <mergeCell ref="E4:E5"/>
    <mergeCell ref="E6:E7"/>
    <mergeCell ref="E8:E9"/>
    <mergeCell ref="E10:E11"/>
    <mergeCell ref="F2:G3"/>
    <mergeCell ref="F4:G5"/>
    <mergeCell ref="F6:G7"/>
    <mergeCell ref="F8:G9"/>
    <mergeCell ref="F10:G11"/>
    <mergeCell ref="C2:D3"/>
    <mergeCell ref="C4:D5"/>
    <mergeCell ref="C6:D7"/>
    <mergeCell ref="C8:D9"/>
    <mergeCell ref="C10:D11"/>
    <mergeCell ref="I10:I11"/>
    <mergeCell ref="A13:E13"/>
    <mergeCell ref="A14:E14"/>
    <mergeCell ref="A15:E15"/>
    <mergeCell ref="A16:E16"/>
    <mergeCell ref="H10:H11"/>
    <mergeCell ref="A10:B11"/>
    <mergeCell ref="A17:E17"/>
    <mergeCell ref="A18:E18"/>
    <mergeCell ref="A20:E20"/>
    <mergeCell ref="A21:E21"/>
    <mergeCell ref="A22:E22"/>
    <mergeCell ref="A23:E23"/>
    <mergeCell ref="A24:E24"/>
    <mergeCell ref="A25:E25"/>
    <mergeCell ref="A26:E26"/>
    <mergeCell ref="A27:E27"/>
    <mergeCell ref="A36:E36"/>
    <mergeCell ref="A29:E29"/>
    <mergeCell ref="F29:I29"/>
    <mergeCell ref="A33:E33"/>
    <mergeCell ref="A34:E34"/>
    <mergeCell ref="A35:E35"/>
  </mergeCells>
  <pageMargins left="0.393999993801117" right="0.393999993801117" top="0.59100002050399802" bottom="0.59100002050399802" header="0" footer="0"/>
  <pageSetup fitToHeight="0" orientation="landscape"/>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32"/>
  <sheetViews>
    <sheetView workbookViewId="0">
      <pane ySplit="11" topLeftCell="A12" activePane="bottomLeft" state="frozen"/>
      <selection pane="bottomLeft" activeCell="E4" sqref="E4:E5"/>
    </sheetView>
  </sheetViews>
  <sheetFormatPr defaultColWidth="12.140625" defaultRowHeight="15" customHeight="1" x14ac:dyDescent="0.25"/>
  <cols>
    <col min="1" max="2" width="8.5703125" customWidth="1"/>
    <col min="3" max="3" width="71.42578125" customWidth="1"/>
    <col min="4" max="6" width="27.85546875" customWidth="1"/>
    <col min="7" max="7" width="37.140625" customWidth="1"/>
    <col min="8" max="9" width="0" hidden="1" customWidth="1"/>
  </cols>
  <sheetData>
    <row r="1" spans="1:9" ht="54.75" customHeight="1" x14ac:dyDescent="0.25">
      <c r="A1" s="141" t="s">
        <v>748</v>
      </c>
      <c r="B1" s="141"/>
      <c r="C1" s="141"/>
      <c r="D1" s="141"/>
      <c r="E1" s="141"/>
      <c r="F1" s="141"/>
      <c r="G1" s="141"/>
    </row>
    <row r="2" spans="1:9" x14ac:dyDescent="0.25">
      <c r="A2" s="142" t="s">
        <v>1</v>
      </c>
      <c r="B2" s="143"/>
      <c r="C2" s="148" t="str">
        <f>'Stavební rozpočet'!D2</f>
        <v>KD K-trio-Oprava sociálních zařízení a šaten</v>
      </c>
      <c r="D2" s="143" t="s">
        <v>3</v>
      </c>
      <c r="E2" s="143" t="s">
        <v>4</v>
      </c>
      <c r="F2" s="139" t="s">
        <v>5</v>
      </c>
      <c r="G2" s="170" t="str">
        <f>'Stavební rozpočet'!J2</f>
        <v> </v>
      </c>
    </row>
    <row r="3" spans="1:9" ht="15" customHeight="1" x14ac:dyDescent="0.25">
      <c r="A3" s="144"/>
      <c r="B3" s="107"/>
      <c r="C3" s="150"/>
      <c r="D3" s="107"/>
      <c r="E3" s="107"/>
      <c r="F3" s="107"/>
      <c r="G3" s="146"/>
    </row>
    <row r="4" spans="1:9" x14ac:dyDescent="0.25">
      <c r="A4" s="137" t="s">
        <v>7</v>
      </c>
      <c r="B4" s="107"/>
      <c r="C4" s="106" t="str">
        <f>'Stavební rozpočet'!D4</f>
        <v xml:space="preserve"> </v>
      </c>
      <c r="D4" s="107" t="s">
        <v>8</v>
      </c>
      <c r="E4" s="107"/>
      <c r="F4" s="106" t="s">
        <v>9</v>
      </c>
      <c r="G4" s="131" t="str">
        <f>'Stavební rozpočet'!J4</f>
        <v> </v>
      </c>
    </row>
    <row r="5" spans="1:9" ht="15" customHeight="1" x14ac:dyDescent="0.25">
      <c r="A5" s="144"/>
      <c r="B5" s="107"/>
      <c r="C5" s="107"/>
      <c r="D5" s="107"/>
      <c r="E5" s="107"/>
      <c r="F5" s="107"/>
      <c r="G5" s="146"/>
    </row>
    <row r="6" spans="1:9" x14ac:dyDescent="0.25">
      <c r="A6" s="137" t="s">
        <v>10</v>
      </c>
      <c r="B6" s="107"/>
      <c r="C6" s="106" t="str">
        <f>'Stavební rozpočet'!D6</f>
        <v xml:space="preserve"> </v>
      </c>
      <c r="D6" s="107" t="s">
        <v>11</v>
      </c>
      <c r="E6" s="107" t="s">
        <v>4</v>
      </c>
      <c r="F6" s="106" t="s">
        <v>12</v>
      </c>
      <c r="G6" s="131" t="str">
        <f>'Stavební rozpočet'!J6</f>
        <v> </v>
      </c>
    </row>
    <row r="7" spans="1:9" ht="15" customHeight="1" x14ac:dyDescent="0.25">
      <c r="A7" s="144"/>
      <c r="B7" s="107"/>
      <c r="C7" s="107"/>
      <c r="D7" s="107"/>
      <c r="E7" s="107"/>
      <c r="F7" s="107"/>
      <c r="G7" s="146"/>
    </row>
    <row r="8" spans="1:9" x14ac:dyDescent="0.25">
      <c r="A8" s="137" t="s">
        <v>15</v>
      </c>
      <c r="B8" s="107"/>
      <c r="C8" s="106" t="str">
        <f>'Stavební rozpočet'!J8</f>
        <v> </v>
      </c>
      <c r="D8" s="107" t="s">
        <v>14</v>
      </c>
      <c r="E8" s="107"/>
      <c r="F8" s="107" t="s">
        <v>14</v>
      </c>
      <c r="G8" s="131"/>
    </row>
    <row r="9" spans="1:9" x14ac:dyDescent="0.25">
      <c r="A9" s="173"/>
      <c r="B9" s="172"/>
      <c r="C9" s="172"/>
      <c r="D9" s="172"/>
      <c r="E9" s="172"/>
      <c r="F9" s="172"/>
      <c r="G9" s="171"/>
    </row>
    <row r="10" spans="1:9" x14ac:dyDescent="0.25">
      <c r="A10" s="67" t="s">
        <v>17</v>
      </c>
      <c r="B10" s="68" t="s">
        <v>18</v>
      </c>
      <c r="C10" s="69" t="s">
        <v>749</v>
      </c>
      <c r="D10" s="70" t="s">
        <v>750</v>
      </c>
      <c r="E10" s="70" t="s">
        <v>751</v>
      </c>
      <c r="F10" s="70" t="s">
        <v>752</v>
      </c>
      <c r="G10" s="71" t="s">
        <v>753</v>
      </c>
    </row>
    <row r="11" spans="1:9" x14ac:dyDescent="0.25">
      <c r="A11" s="72" t="s">
        <v>51</v>
      </c>
      <c r="B11" s="73" t="s">
        <v>50</v>
      </c>
      <c r="C11" s="73" t="s">
        <v>52</v>
      </c>
      <c r="D11" s="74">
        <f>'Stavební rozpočet'!J12</f>
        <v>0</v>
      </c>
      <c r="E11" s="74">
        <f>'Stavební rozpočet'!K12</f>
        <v>0</v>
      </c>
      <c r="F11" s="74">
        <f>'Stavební rozpočet'!L12</f>
        <v>0</v>
      </c>
      <c r="G11" s="75">
        <f>'Stavební rozpočet'!O12</f>
        <v>33.342039407999998</v>
      </c>
      <c r="H11" s="76" t="s">
        <v>754</v>
      </c>
      <c r="I11" s="38">
        <f t="shared" ref="I11:I31" si="0">IF(H11="F",0,F11)</f>
        <v>0</v>
      </c>
    </row>
    <row r="12" spans="1:9" x14ac:dyDescent="0.25">
      <c r="A12" s="2" t="s">
        <v>51</v>
      </c>
      <c r="B12" s="3" t="s">
        <v>53</v>
      </c>
      <c r="C12" s="3" t="s">
        <v>54</v>
      </c>
      <c r="D12" s="38">
        <f>'Stavební rozpočet'!J13</f>
        <v>0</v>
      </c>
      <c r="E12" s="38">
        <f>'Stavební rozpočet'!K13</f>
        <v>0</v>
      </c>
      <c r="F12" s="38">
        <f>'Stavební rozpočet'!L13</f>
        <v>0</v>
      </c>
      <c r="G12" s="61">
        <f>'Stavební rozpočet'!O13</f>
        <v>1.6537499999999998</v>
      </c>
      <c r="H12" s="76" t="s">
        <v>755</v>
      </c>
      <c r="I12" s="38">
        <f t="shared" si="0"/>
        <v>0</v>
      </c>
    </row>
    <row r="13" spans="1:9" x14ac:dyDescent="0.25">
      <c r="A13" s="2" t="s">
        <v>51</v>
      </c>
      <c r="B13" s="3" t="s">
        <v>71</v>
      </c>
      <c r="C13" s="3" t="s">
        <v>72</v>
      </c>
      <c r="D13" s="38">
        <f>'Stavební rozpočet'!J17</f>
        <v>0</v>
      </c>
      <c r="E13" s="38">
        <f>'Stavební rozpočet'!K17</f>
        <v>0</v>
      </c>
      <c r="F13" s="38">
        <f>'Stavební rozpočet'!L17</f>
        <v>0</v>
      </c>
      <c r="G13" s="61">
        <f>'Stavební rozpočet'!O17</f>
        <v>18.673143827500006</v>
      </c>
      <c r="H13" s="76" t="s">
        <v>755</v>
      </c>
      <c r="I13" s="38">
        <f t="shared" si="0"/>
        <v>0</v>
      </c>
    </row>
    <row r="14" spans="1:9" x14ac:dyDescent="0.25">
      <c r="A14" s="2" t="s">
        <v>51</v>
      </c>
      <c r="B14" s="3" t="s">
        <v>190</v>
      </c>
      <c r="C14" s="3" t="s">
        <v>191</v>
      </c>
      <c r="D14" s="38">
        <f>'Stavební rozpočet'!J59</f>
        <v>0</v>
      </c>
      <c r="E14" s="38">
        <f>'Stavební rozpočet'!K59</f>
        <v>0</v>
      </c>
      <c r="F14" s="38">
        <f>'Stavební rozpočet'!L59</f>
        <v>0</v>
      </c>
      <c r="G14" s="61">
        <f>'Stavební rozpočet'!O59</f>
        <v>1.4695000000000003</v>
      </c>
      <c r="H14" s="76" t="s">
        <v>755</v>
      </c>
      <c r="I14" s="38">
        <f t="shared" si="0"/>
        <v>0</v>
      </c>
    </row>
    <row r="15" spans="1:9" x14ac:dyDescent="0.25">
      <c r="A15" s="2" t="s">
        <v>51</v>
      </c>
      <c r="B15" s="3" t="s">
        <v>244</v>
      </c>
      <c r="C15" s="3" t="s">
        <v>245</v>
      </c>
      <c r="D15" s="38">
        <f>'Stavební rozpočet'!J90</f>
        <v>0</v>
      </c>
      <c r="E15" s="38">
        <f>'Stavební rozpočet'!K90</f>
        <v>0</v>
      </c>
      <c r="F15" s="38">
        <f>'Stavební rozpočet'!L90</f>
        <v>0</v>
      </c>
      <c r="G15" s="61">
        <f>'Stavební rozpočet'!O90</f>
        <v>0</v>
      </c>
      <c r="H15" s="76" t="s">
        <v>755</v>
      </c>
      <c r="I15" s="38">
        <f t="shared" si="0"/>
        <v>0</v>
      </c>
    </row>
    <row r="16" spans="1:9" x14ac:dyDescent="0.25">
      <c r="A16" s="2" t="s">
        <v>51</v>
      </c>
      <c r="B16" s="3" t="s">
        <v>175</v>
      </c>
      <c r="C16" s="3" t="s">
        <v>250</v>
      </c>
      <c r="D16" s="38">
        <f>'Stavební rozpočet'!J92</f>
        <v>0</v>
      </c>
      <c r="E16" s="38">
        <f>'Stavební rozpočet'!K92</f>
        <v>0</v>
      </c>
      <c r="F16" s="38">
        <f>'Stavební rozpočet'!L92</f>
        <v>0</v>
      </c>
      <c r="G16" s="61">
        <f>'Stavební rozpočet'!O92</f>
        <v>2.1082055854999999</v>
      </c>
      <c r="H16" s="76" t="s">
        <v>755</v>
      </c>
      <c r="I16" s="38">
        <f t="shared" si="0"/>
        <v>0</v>
      </c>
    </row>
    <row r="17" spans="1:9" x14ac:dyDescent="0.25">
      <c r="A17" s="2" t="s">
        <v>51</v>
      </c>
      <c r="B17" s="3" t="s">
        <v>199</v>
      </c>
      <c r="C17" s="3" t="s">
        <v>269</v>
      </c>
      <c r="D17" s="38">
        <f>'Stavební rozpočet'!J100</f>
        <v>0</v>
      </c>
      <c r="E17" s="38">
        <f>'Stavební rozpočet'!K100</f>
        <v>0</v>
      </c>
      <c r="F17" s="38">
        <f>'Stavební rozpočet'!L100</f>
        <v>0</v>
      </c>
      <c r="G17" s="61">
        <f>'Stavební rozpočet'!O100</f>
        <v>0.56910229999999995</v>
      </c>
      <c r="H17" s="76" t="s">
        <v>755</v>
      </c>
      <c r="I17" s="38">
        <f t="shared" si="0"/>
        <v>0</v>
      </c>
    </row>
    <row r="18" spans="1:9" x14ac:dyDescent="0.25">
      <c r="A18" s="2" t="s">
        <v>51</v>
      </c>
      <c r="B18" s="3" t="s">
        <v>266</v>
      </c>
      <c r="C18" s="3" t="s">
        <v>288</v>
      </c>
      <c r="D18" s="38">
        <f>'Stavební rozpočet'!J109</f>
        <v>0</v>
      </c>
      <c r="E18" s="38">
        <f>'Stavební rozpočet'!K109</f>
        <v>0</v>
      </c>
      <c r="F18" s="38">
        <f>'Stavební rozpočet'!L109</f>
        <v>0</v>
      </c>
      <c r="G18" s="61">
        <f>'Stavební rozpočet'!O109</f>
        <v>1.1181067339999999</v>
      </c>
      <c r="H18" s="76" t="s">
        <v>755</v>
      </c>
      <c r="I18" s="38">
        <f t="shared" si="0"/>
        <v>0</v>
      </c>
    </row>
    <row r="19" spans="1:9" x14ac:dyDescent="0.25">
      <c r="A19" s="2" t="s">
        <v>51</v>
      </c>
      <c r="B19" s="3" t="s">
        <v>276</v>
      </c>
      <c r="C19" s="3" t="s">
        <v>305</v>
      </c>
      <c r="D19" s="38">
        <f>'Stavební rozpočet'!J118</f>
        <v>0</v>
      </c>
      <c r="E19" s="38">
        <f>'Stavební rozpočet'!K118</f>
        <v>0</v>
      </c>
      <c r="F19" s="38">
        <f>'Stavební rozpočet'!L118</f>
        <v>0</v>
      </c>
      <c r="G19" s="61">
        <f>'Stavební rozpočet'!O118</f>
        <v>1.2535718000000002</v>
      </c>
      <c r="H19" s="76" t="s">
        <v>755</v>
      </c>
      <c r="I19" s="38">
        <f t="shared" si="0"/>
        <v>0</v>
      </c>
    </row>
    <row r="20" spans="1:9" x14ac:dyDescent="0.25">
      <c r="A20" s="2" t="s">
        <v>51</v>
      </c>
      <c r="B20" s="3" t="s">
        <v>314</v>
      </c>
      <c r="C20" s="3" t="s">
        <v>315</v>
      </c>
      <c r="D20" s="38">
        <f>'Stavební rozpočet'!J122</f>
        <v>0</v>
      </c>
      <c r="E20" s="38">
        <f>'Stavební rozpočet'!K122</f>
        <v>0</v>
      </c>
      <c r="F20" s="38">
        <f>'Stavební rozpočet'!L122</f>
        <v>0</v>
      </c>
      <c r="G20" s="61">
        <f>'Stavební rozpočet'!O122</f>
        <v>6.0532399999999993E-2</v>
      </c>
      <c r="H20" s="76" t="s">
        <v>755</v>
      </c>
      <c r="I20" s="38">
        <f t="shared" si="0"/>
        <v>0</v>
      </c>
    </row>
    <row r="21" spans="1:9" x14ac:dyDescent="0.25">
      <c r="A21" s="2" t="s">
        <v>51</v>
      </c>
      <c r="B21" s="3" t="s">
        <v>329</v>
      </c>
      <c r="C21" s="3" t="s">
        <v>330</v>
      </c>
      <c r="D21" s="38">
        <f>'Stavební rozpočet'!J128</f>
        <v>0</v>
      </c>
      <c r="E21" s="38">
        <f>'Stavební rozpočet'!K128</f>
        <v>0</v>
      </c>
      <c r="F21" s="38">
        <f>'Stavební rozpočet'!L128</f>
        <v>0</v>
      </c>
      <c r="G21" s="61">
        <f>'Stavební rozpočet'!O128</f>
        <v>4.0800000000000003E-3</v>
      </c>
      <c r="H21" s="76" t="s">
        <v>755</v>
      </c>
      <c r="I21" s="38">
        <f t="shared" si="0"/>
        <v>0</v>
      </c>
    </row>
    <row r="22" spans="1:9" x14ac:dyDescent="0.25">
      <c r="A22" s="2" t="s">
        <v>51</v>
      </c>
      <c r="B22" s="3" t="s">
        <v>336</v>
      </c>
      <c r="C22" s="3" t="s">
        <v>337</v>
      </c>
      <c r="D22" s="38">
        <f>'Stavební rozpočet'!J131</f>
        <v>0</v>
      </c>
      <c r="E22" s="38">
        <f>'Stavební rozpočet'!K131</f>
        <v>0</v>
      </c>
      <c r="F22" s="38">
        <f>'Stavební rozpočet'!L131</f>
        <v>0</v>
      </c>
      <c r="G22" s="61">
        <f>'Stavební rozpočet'!O131</f>
        <v>4.4194999999999998E-2</v>
      </c>
      <c r="H22" s="76" t="s">
        <v>755</v>
      </c>
      <c r="I22" s="38">
        <f t="shared" si="0"/>
        <v>0</v>
      </c>
    </row>
    <row r="23" spans="1:9" x14ac:dyDescent="0.25">
      <c r="A23" s="2" t="s">
        <v>51</v>
      </c>
      <c r="B23" s="3" t="s">
        <v>389</v>
      </c>
      <c r="C23" s="3" t="s">
        <v>390</v>
      </c>
      <c r="D23" s="38">
        <f>'Stavební rozpočet'!J151</f>
        <v>0</v>
      </c>
      <c r="E23" s="38">
        <f>'Stavební rozpočet'!K151</f>
        <v>0</v>
      </c>
      <c r="F23" s="38">
        <f>'Stavební rozpočet'!L151</f>
        <v>0</v>
      </c>
      <c r="G23" s="61">
        <f>'Stavební rozpočet'!O151</f>
        <v>0.22066999999999998</v>
      </c>
      <c r="H23" s="76" t="s">
        <v>755</v>
      </c>
      <c r="I23" s="38">
        <f t="shared" si="0"/>
        <v>0</v>
      </c>
    </row>
    <row r="24" spans="1:9" x14ac:dyDescent="0.25">
      <c r="A24" s="2" t="s">
        <v>51</v>
      </c>
      <c r="B24" s="3" t="s">
        <v>430</v>
      </c>
      <c r="C24" s="3" t="s">
        <v>431</v>
      </c>
      <c r="D24" s="38">
        <f>'Stavební rozpočet'!J167</f>
        <v>0</v>
      </c>
      <c r="E24" s="38">
        <f>'Stavební rozpočet'!K167</f>
        <v>0</v>
      </c>
      <c r="F24" s="38">
        <f>'Stavební rozpočet'!L167</f>
        <v>0</v>
      </c>
      <c r="G24" s="61">
        <f>'Stavební rozpočet'!O167</f>
        <v>0.67256459999999996</v>
      </c>
      <c r="H24" s="76" t="s">
        <v>755</v>
      </c>
      <c r="I24" s="38">
        <f t="shared" si="0"/>
        <v>0</v>
      </c>
    </row>
    <row r="25" spans="1:9" x14ac:dyDescent="0.25">
      <c r="A25" s="2" t="s">
        <v>51</v>
      </c>
      <c r="B25" s="3" t="s">
        <v>495</v>
      </c>
      <c r="C25" s="3" t="s">
        <v>496</v>
      </c>
      <c r="D25" s="38">
        <f>'Stavební rozpočet'!J194</f>
        <v>0</v>
      </c>
      <c r="E25" s="38">
        <f>'Stavební rozpočet'!K194</f>
        <v>0</v>
      </c>
      <c r="F25" s="38">
        <f>'Stavební rozpočet'!L194</f>
        <v>0</v>
      </c>
      <c r="G25" s="61">
        <f>'Stavební rozpočet'!O194</f>
        <v>0.11673</v>
      </c>
      <c r="H25" s="76" t="s">
        <v>755</v>
      </c>
      <c r="I25" s="38">
        <f t="shared" si="0"/>
        <v>0</v>
      </c>
    </row>
    <row r="26" spans="1:9" x14ac:dyDescent="0.25">
      <c r="A26" s="2" t="s">
        <v>51</v>
      </c>
      <c r="B26" s="3" t="s">
        <v>501</v>
      </c>
      <c r="C26" s="3" t="s">
        <v>502</v>
      </c>
      <c r="D26" s="38">
        <f>'Stavební rozpočet'!J196</f>
        <v>0</v>
      </c>
      <c r="E26" s="38">
        <f>'Stavební rozpočet'!K196</f>
        <v>0</v>
      </c>
      <c r="F26" s="38">
        <f>'Stavební rozpočet'!L196</f>
        <v>0</v>
      </c>
      <c r="G26" s="61">
        <f>'Stavební rozpočet'!O196</f>
        <v>0</v>
      </c>
      <c r="H26" s="76" t="s">
        <v>755</v>
      </c>
      <c r="I26" s="38">
        <f t="shared" si="0"/>
        <v>0</v>
      </c>
    </row>
    <row r="27" spans="1:9" x14ac:dyDescent="0.25">
      <c r="A27" s="2" t="s">
        <v>51</v>
      </c>
      <c r="B27" s="3" t="s">
        <v>506</v>
      </c>
      <c r="C27" s="3" t="s">
        <v>507</v>
      </c>
      <c r="D27" s="38">
        <f>'Stavební rozpočet'!J198</f>
        <v>0</v>
      </c>
      <c r="E27" s="38">
        <f>'Stavební rozpočet'!K198</f>
        <v>0</v>
      </c>
      <c r="F27" s="38">
        <f>'Stavební rozpočet'!L198</f>
        <v>0</v>
      </c>
      <c r="G27" s="61">
        <f>'Stavební rozpočet'!O198</f>
        <v>0.19931199999999999</v>
      </c>
      <c r="H27" s="76" t="s">
        <v>755</v>
      </c>
      <c r="I27" s="38">
        <f t="shared" si="0"/>
        <v>0</v>
      </c>
    </row>
    <row r="28" spans="1:9" x14ac:dyDescent="0.25">
      <c r="A28" s="2" t="s">
        <v>51</v>
      </c>
      <c r="B28" s="3" t="s">
        <v>530</v>
      </c>
      <c r="C28" s="3" t="s">
        <v>531</v>
      </c>
      <c r="D28" s="38">
        <f>'Stavební rozpočet'!J207</f>
        <v>0</v>
      </c>
      <c r="E28" s="38">
        <f>'Stavební rozpočet'!K207</f>
        <v>0</v>
      </c>
      <c r="F28" s="38">
        <f>'Stavební rozpočet'!L207</f>
        <v>0</v>
      </c>
      <c r="G28" s="61">
        <f>'Stavební rozpočet'!O207</f>
        <v>0.27872000000000002</v>
      </c>
      <c r="H28" s="76" t="s">
        <v>755</v>
      </c>
      <c r="I28" s="38">
        <f t="shared" si="0"/>
        <v>0</v>
      </c>
    </row>
    <row r="29" spans="1:9" x14ac:dyDescent="0.25">
      <c r="A29" s="2" t="s">
        <v>51</v>
      </c>
      <c r="B29" s="3" t="s">
        <v>553</v>
      </c>
      <c r="C29" s="3" t="s">
        <v>554</v>
      </c>
      <c r="D29" s="38">
        <f>'Stavební rozpočet'!J214</f>
        <v>0</v>
      </c>
      <c r="E29" s="38">
        <f>'Stavební rozpočet'!K214</f>
        <v>0</v>
      </c>
      <c r="F29" s="38">
        <f>'Stavební rozpočet'!L214</f>
        <v>0</v>
      </c>
      <c r="G29" s="61">
        <f>'Stavební rozpočet'!O214</f>
        <v>1.0359647999999999</v>
      </c>
      <c r="H29" s="76" t="s">
        <v>755</v>
      </c>
      <c r="I29" s="38">
        <f t="shared" si="0"/>
        <v>0</v>
      </c>
    </row>
    <row r="30" spans="1:9" x14ac:dyDescent="0.25">
      <c r="A30" s="2" t="s">
        <v>51</v>
      </c>
      <c r="B30" s="3" t="s">
        <v>569</v>
      </c>
      <c r="C30" s="3" t="s">
        <v>570</v>
      </c>
      <c r="D30" s="38">
        <f>'Stavební rozpočet'!J219</f>
        <v>0</v>
      </c>
      <c r="E30" s="38">
        <f>'Stavební rozpočet'!K219</f>
        <v>0</v>
      </c>
      <c r="F30" s="38">
        <f>'Stavební rozpočet'!L219</f>
        <v>0</v>
      </c>
      <c r="G30" s="61">
        <f>'Stavební rozpočet'!O219</f>
        <v>3.8072502610000001</v>
      </c>
      <c r="H30" s="76" t="s">
        <v>755</v>
      </c>
      <c r="I30" s="38">
        <f t="shared" si="0"/>
        <v>0</v>
      </c>
    </row>
    <row r="31" spans="1:9" x14ac:dyDescent="0.25">
      <c r="A31" s="44" t="s">
        <v>51</v>
      </c>
      <c r="B31" s="45" t="s">
        <v>395</v>
      </c>
      <c r="C31" s="45" t="s">
        <v>594</v>
      </c>
      <c r="D31" s="47">
        <f>'Stavební rozpočet'!J229</f>
        <v>0</v>
      </c>
      <c r="E31" s="47">
        <f>'Stavební rozpočet'!K229</f>
        <v>0</v>
      </c>
      <c r="F31" s="47">
        <f>'Stavební rozpočet'!L229</f>
        <v>0</v>
      </c>
      <c r="G31" s="65">
        <f>'Stavební rozpočet'!O229</f>
        <v>5.6640099999999999E-2</v>
      </c>
      <c r="H31" s="76" t="s">
        <v>755</v>
      </c>
      <c r="I31" s="38">
        <f t="shared" si="0"/>
        <v>0</v>
      </c>
    </row>
    <row r="32" spans="1:9" x14ac:dyDescent="0.25">
      <c r="E32" s="50" t="s">
        <v>599</v>
      </c>
      <c r="F32" s="51">
        <f>SUM(I11:I31)</f>
        <v>0</v>
      </c>
    </row>
  </sheetData>
  <sheetProtection password="E9AE" sheet="1" objects="1" scenarios="1"/>
  <mergeCells count="25">
    <mergeCell ref="A1:G1"/>
    <mergeCell ref="A2:B3"/>
    <mergeCell ref="A4:B5"/>
    <mergeCell ref="A6:B7"/>
    <mergeCell ref="A8:B9"/>
    <mergeCell ref="D2:D3"/>
    <mergeCell ref="D4:D5"/>
    <mergeCell ref="D6:D7"/>
    <mergeCell ref="D8:D9"/>
    <mergeCell ref="F2:F3"/>
    <mergeCell ref="F4:F5"/>
    <mergeCell ref="F6:F7"/>
    <mergeCell ref="F8:F9"/>
    <mergeCell ref="C2:C3"/>
    <mergeCell ref="C4:C5"/>
    <mergeCell ref="C6:C7"/>
    <mergeCell ref="G2:G3"/>
    <mergeCell ref="G4:G5"/>
    <mergeCell ref="G6:G7"/>
    <mergeCell ref="G8:G9"/>
    <mergeCell ref="C8:C9"/>
    <mergeCell ref="E2:E3"/>
    <mergeCell ref="E4:E5"/>
    <mergeCell ref="E6:E7"/>
    <mergeCell ref="E8:E9"/>
  </mergeCells>
  <pageMargins left="0.393999993801117" right="0.393999993801117" top="0.59100002050399802" bottom="0.59100002050399802" header="0" footer="0"/>
  <pageSetup fitToHeight="0" orientation="landscape"/>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Z233"/>
  <sheetViews>
    <sheetView tabSelected="1" workbookViewId="0">
      <pane ySplit="11" topLeftCell="A12" activePane="bottomLeft" state="frozen"/>
      <selection pane="bottomLeft" activeCell="H230" sqref="H230"/>
    </sheetView>
  </sheetViews>
  <sheetFormatPr defaultColWidth="12.140625" defaultRowHeight="15" customHeight="1" x14ac:dyDescent="0.25"/>
  <cols>
    <col min="1" max="1" width="4" customWidth="1"/>
    <col min="2" max="2" width="7.5703125" customWidth="1"/>
    <col min="3" max="3" width="17.85546875" customWidth="1"/>
    <col min="4" max="4" width="42.85546875" customWidth="1"/>
    <col min="5" max="5" width="35.7109375" customWidth="1"/>
    <col min="6" max="6" width="6.42578125" customWidth="1"/>
    <col min="7" max="7" width="12.85546875" customWidth="1"/>
    <col min="8" max="8" width="12" customWidth="1"/>
    <col min="9" max="9" width="11.140625" customWidth="1"/>
    <col min="10" max="13" width="15.7109375" customWidth="1"/>
    <col min="14" max="15" width="11.7109375" customWidth="1"/>
    <col min="16" max="16" width="13.42578125" customWidth="1"/>
    <col min="25" max="75" width="12.140625" hidden="1"/>
    <col min="76" max="76" width="78.5703125" hidden="1" customWidth="1"/>
    <col min="77" max="78" width="12.140625" hidden="1"/>
  </cols>
  <sheetData>
    <row r="1" spans="1:76" ht="54.75" customHeight="1" x14ac:dyDescent="0.25">
      <c r="A1" s="141" t="s">
        <v>0</v>
      </c>
      <c r="B1" s="141"/>
      <c r="C1" s="141"/>
      <c r="D1" s="141"/>
      <c r="E1" s="141"/>
      <c r="F1" s="141"/>
      <c r="G1" s="141"/>
      <c r="H1" s="141"/>
      <c r="I1" s="141"/>
      <c r="J1" s="141"/>
      <c r="K1" s="141"/>
      <c r="L1" s="141"/>
      <c r="M1" s="141"/>
      <c r="N1" s="141"/>
      <c r="O1" s="141"/>
      <c r="P1" s="141"/>
      <c r="AS1" s="1">
        <f>SUM(AJ1:AJ2)</f>
        <v>0</v>
      </c>
      <c r="AT1" s="1">
        <f>SUM(AK1:AK2)</f>
        <v>0</v>
      </c>
      <c r="AU1" s="1">
        <f>SUM(AL1:AL2)</f>
        <v>0</v>
      </c>
    </row>
    <row r="2" spans="1:76" x14ac:dyDescent="0.25">
      <c r="A2" s="142" t="s">
        <v>1</v>
      </c>
      <c r="B2" s="143"/>
      <c r="C2" s="143"/>
      <c r="D2" s="148" t="s">
        <v>2</v>
      </c>
      <c r="E2" s="149"/>
      <c r="F2" s="143" t="s">
        <v>3</v>
      </c>
      <c r="G2" s="143"/>
      <c r="H2" s="143" t="s">
        <v>4</v>
      </c>
      <c r="I2" s="139" t="s">
        <v>5</v>
      </c>
      <c r="J2" s="143" t="s">
        <v>6</v>
      </c>
      <c r="K2" s="143"/>
      <c r="L2" s="143"/>
      <c r="M2" s="143"/>
      <c r="N2" s="143"/>
      <c r="O2" s="143"/>
      <c r="P2" s="145"/>
    </row>
    <row r="3" spans="1:76" x14ac:dyDescent="0.25">
      <c r="A3" s="144"/>
      <c r="B3" s="107"/>
      <c r="C3" s="107"/>
      <c r="D3" s="150"/>
      <c r="E3" s="150"/>
      <c r="F3" s="107"/>
      <c r="G3" s="107"/>
      <c r="H3" s="107"/>
      <c r="I3" s="107"/>
      <c r="J3" s="107"/>
      <c r="K3" s="107"/>
      <c r="L3" s="107"/>
      <c r="M3" s="107"/>
      <c r="N3" s="107"/>
      <c r="O3" s="107"/>
      <c r="P3" s="146"/>
    </row>
    <row r="4" spans="1:76" x14ac:dyDescent="0.25">
      <c r="A4" s="137" t="s">
        <v>7</v>
      </c>
      <c r="B4" s="107"/>
      <c r="C4" s="107"/>
      <c r="D4" s="106" t="s">
        <v>4</v>
      </c>
      <c r="E4" s="107"/>
      <c r="F4" s="107" t="s">
        <v>8</v>
      </c>
      <c r="G4" s="107"/>
      <c r="H4" s="107"/>
      <c r="I4" s="106" t="s">
        <v>9</v>
      </c>
      <c r="J4" s="107" t="s">
        <v>6</v>
      </c>
      <c r="K4" s="107"/>
      <c r="L4" s="107"/>
      <c r="M4" s="107"/>
      <c r="N4" s="107"/>
      <c r="O4" s="107"/>
      <c r="P4" s="146"/>
    </row>
    <row r="5" spans="1:76" x14ac:dyDescent="0.25">
      <c r="A5" s="144"/>
      <c r="B5" s="107"/>
      <c r="C5" s="107"/>
      <c r="D5" s="107"/>
      <c r="E5" s="107"/>
      <c r="F5" s="107"/>
      <c r="G5" s="107"/>
      <c r="H5" s="107"/>
      <c r="I5" s="107"/>
      <c r="J5" s="107"/>
      <c r="K5" s="107"/>
      <c r="L5" s="107"/>
      <c r="M5" s="107"/>
      <c r="N5" s="107"/>
      <c r="O5" s="107"/>
      <c r="P5" s="146"/>
    </row>
    <row r="6" spans="1:76" x14ac:dyDescent="0.25">
      <c r="A6" s="137" t="s">
        <v>10</v>
      </c>
      <c r="B6" s="107"/>
      <c r="C6" s="107"/>
      <c r="D6" s="106" t="s">
        <v>4</v>
      </c>
      <c r="E6" s="107"/>
      <c r="F6" s="107" t="s">
        <v>11</v>
      </c>
      <c r="G6" s="107"/>
      <c r="H6" s="107" t="s">
        <v>4</v>
      </c>
      <c r="I6" s="106" t="s">
        <v>12</v>
      </c>
      <c r="J6" s="107" t="s">
        <v>6</v>
      </c>
      <c r="K6" s="107"/>
      <c r="L6" s="107"/>
      <c r="M6" s="107"/>
      <c r="N6" s="107"/>
      <c r="O6" s="107"/>
      <c r="P6" s="146"/>
    </row>
    <row r="7" spans="1:76" x14ac:dyDescent="0.25">
      <c r="A7" s="144"/>
      <c r="B7" s="107"/>
      <c r="C7" s="107"/>
      <c r="D7" s="107"/>
      <c r="E7" s="107"/>
      <c r="F7" s="107"/>
      <c r="G7" s="107"/>
      <c r="H7" s="107"/>
      <c r="I7" s="107"/>
      <c r="J7" s="107"/>
      <c r="K7" s="107"/>
      <c r="L7" s="107"/>
      <c r="M7" s="107"/>
      <c r="N7" s="107"/>
      <c r="O7" s="107"/>
      <c r="P7" s="146"/>
    </row>
    <row r="8" spans="1:76" x14ac:dyDescent="0.25">
      <c r="A8" s="137" t="s">
        <v>13</v>
      </c>
      <c r="B8" s="107"/>
      <c r="C8" s="107"/>
      <c r="D8" s="106" t="s">
        <v>4</v>
      </c>
      <c r="E8" s="107"/>
      <c r="F8" s="107" t="s">
        <v>14</v>
      </c>
      <c r="G8" s="107"/>
      <c r="H8" s="107"/>
      <c r="I8" s="106" t="s">
        <v>15</v>
      </c>
      <c r="J8" s="107" t="s">
        <v>6</v>
      </c>
      <c r="K8" s="107"/>
      <c r="L8" s="107"/>
      <c r="M8" s="107"/>
      <c r="N8" s="107"/>
      <c r="O8" s="107"/>
      <c r="P8" s="146"/>
    </row>
    <row r="9" spans="1:76" x14ac:dyDescent="0.25">
      <c r="A9" s="173"/>
      <c r="B9" s="172"/>
      <c r="C9" s="172"/>
      <c r="D9" s="172"/>
      <c r="E9" s="172"/>
      <c r="F9" s="172"/>
      <c r="G9" s="172"/>
      <c r="H9" s="172"/>
      <c r="I9" s="172"/>
      <c r="J9" s="172"/>
      <c r="K9" s="172"/>
      <c r="L9" s="172"/>
      <c r="M9" s="172"/>
      <c r="N9" s="172"/>
      <c r="O9" s="172"/>
      <c r="P9" s="171"/>
    </row>
    <row r="10" spans="1:76" x14ac:dyDescent="0.25">
      <c r="A10" s="6" t="s">
        <v>16</v>
      </c>
      <c r="B10" s="7" t="s">
        <v>17</v>
      </c>
      <c r="C10" s="7" t="s">
        <v>18</v>
      </c>
      <c r="D10" s="191" t="s">
        <v>19</v>
      </c>
      <c r="E10" s="192"/>
      <c r="F10" s="7" t="s">
        <v>20</v>
      </c>
      <c r="G10" s="8" t="s">
        <v>21</v>
      </c>
      <c r="H10" s="9" t="s">
        <v>22</v>
      </c>
      <c r="I10" s="10" t="s">
        <v>23</v>
      </c>
      <c r="J10" s="184" t="s">
        <v>24</v>
      </c>
      <c r="K10" s="185"/>
      <c r="L10" s="186"/>
      <c r="M10" s="11" t="s">
        <v>24</v>
      </c>
      <c r="N10" s="187" t="s">
        <v>25</v>
      </c>
      <c r="O10" s="188"/>
      <c r="P10" s="12" t="s">
        <v>26</v>
      </c>
      <c r="BK10" s="13" t="s">
        <v>27</v>
      </c>
      <c r="BL10" s="14" t="s">
        <v>28</v>
      </c>
      <c r="BW10" s="14" t="s">
        <v>29</v>
      </c>
    </row>
    <row r="11" spans="1:76" x14ac:dyDescent="0.25">
      <c r="A11" s="15" t="s">
        <v>4</v>
      </c>
      <c r="B11" s="16" t="s">
        <v>4</v>
      </c>
      <c r="C11" s="16" t="s">
        <v>4</v>
      </c>
      <c r="D11" s="182" t="s">
        <v>30</v>
      </c>
      <c r="E11" s="183"/>
      <c r="F11" s="16" t="s">
        <v>4</v>
      </c>
      <c r="G11" s="16" t="s">
        <v>4</v>
      </c>
      <c r="H11" s="17" t="s">
        <v>31</v>
      </c>
      <c r="I11" s="18" t="s">
        <v>4</v>
      </c>
      <c r="J11" s="19" t="s">
        <v>32</v>
      </c>
      <c r="K11" s="20" t="s">
        <v>33</v>
      </c>
      <c r="L11" s="21" t="s">
        <v>34</v>
      </c>
      <c r="M11" s="22" t="s">
        <v>35</v>
      </c>
      <c r="N11" s="23" t="s">
        <v>36</v>
      </c>
      <c r="O11" s="24" t="s">
        <v>34</v>
      </c>
      <c r="P11" s="25" t="s">
        <v>37</v>
      </c>
      <c r="Z11" s="13" t="s">
        <v>38</v>
      </c>
      <c r="AA11" s="13" t="s">
        <v>39</v>
      </c>
      <c r="AB11" s="13" t="s">
        <v>40</v>
      </c>
      <c r="AC11" s="13" t="s">
        <v>41</v>
      </c>
      <c r="AD11" s="13" t="s">
        <v>42</v>
      </c>
      <c r="AE11" s="13" t="s">
        <v>43</v>
      </c>
      <c r="AF11" s="13" t="s">
        <v>44</v>
      </c>
      <c r="AG11" s="13" t="s">
        <v>45</v>
      </c>
      <c r="AH11" s="13" t="s">
        <v>46</v>
      </c>
      <c r="BH11" s="13" t="s">
        <v>47</v>
      </c>
      <c r="BI11" s="13" t="s">
        <v>48</v>
      </c>
      <c r="BJ11" s="13" t="s">
        <v>49</v>
      </c>
    </row>
    <row r="12" spans="1:76" x14ac:dyDescent="0.25">
      <c r="A12" s="26" t="s">
        <v>50</v>
      </c>
      <c r="B12" s="27" t="s">
        <v>51</v>
      </c>
      <c r="C12" s="27" t="s">
        <v>50</v>
      </c>
      <c r="D12" s="189" t="s">
        <v>52</v>
      </c>
      <c r="E12" s="190"/>
      <c r="F12" s="29" t="s">
        <v>4</v>
      </c>
      <c r="G12" s="29" t="s">
        <v>4</v>
      </c>
      <c r="H12" s="29" t="s">
        <v>4</v>
      </c>
      <c r="I12" s="29" t="s">
        <v>4</v>
      </c>
      <c r="J12" s="30">
        <f>J13+J17+J59+J90+J92+J100+J109+J118+J122+J128+J131+J151+J167+J194+J196+J198+J207+J214+J219+J229</f>
        <v>0</v>
      </c>
      <c r="K12" s="30">
        <f>K13+K17+K59+K90+K92+K100+K109+K118+K122+K128+K131+K151+K167+K194+K196+K198+K207+K214+K219+K229</f>
        <v>0</v>
      </c>
      <c r="L12" s="30">
        <f>L13+L17+L59+L90+L92+L100+L109+L118+L122+L128+L131+L151+L167+L194+L196+L198+L207+L214+L219+L229</f>
        <v>0</v>
      </c>
      <c r="M12" s="30">
        <f>M13+M17+M59+M90+M92+M100+M109+M118+M122+M128+M131+M151+M167+M194+M196+M198+M207+M214+M219+M229</f>
        <v>0</v>
      </c>
      <c r="N12" s="31" t="s">
        <v>50</v>
      </c>
      <c r="O12" s="30">
        <f>O13+O17+O59+O90+O92+O100+O109+O118+O122+O128+O131+O151+O167+O194+O196+O198+O207+O214+O219+O229</f>
        <v>33.342039407999998</v>
      </c>
      <c r="P12" s="32" t="s">
        <v>50</v>
      </c>
    </row>
    <row r="13" spans="1:76" x14ac:dyDescent="0.25">
      <c r="A13" s="33" t="s">
        <v>50</v>
      </c>
      <c r="B13" s="34" t="s">
        <v>51</v>
      </c>
      <c r="C13" s="34" t="s">
        <v>53</v>
      </c>
      <c r="D13" s="174" t="s">
        <v>54</v>
      </c>
      <c r="E13" s="175"/>
      <c r="F13" s="36" t="s">
        <v>4</v>
      </c>
      <c r="G13" s="36" t="s">
        <v>4</v>
      </c>
      <c r="H13" s="36" t="s">
        <v>4</v>
      </c>
      <c r="I13" s="36" t="s">
        <v>4</v>
      </c>
      <c r="J13" s="1">
        <f>SUM(J14:J16)</f>
        <v>0</v>
      </c>
      <c r="K13" s="1">
        <f>SUM(K14:K16)</f>
        <v>0</v>
      </c>
      <c r="L13" s="1">
        <f>SUM(L14:L16)</f>
        <v>0</v>
      </c>
      <c r="M13" s="1">
        <f>SUM(M14:M16)</f>
        <v>0</v>
      </c>
      <c r="N13" s="13" t="s">
        <v>50</v>
      </c>
      <c r="O13" s="1">
        <f>SUM(O14:O16)</f>
        <v>1.6537499999999998</v>
      </c>
      <c r="P13" s="37" t="s">
        <v>50</v>
      </c>
      <c r="AI13" s="13" t="s">
        <v>51</v>
      </c>
      <c r="AS13" s="1">
        <f>SUM(AJ14:AJ16)</f>
        <v>0</v>
      </c>
      <c r="AT13" s="1">
        <f>SUM(AK14:AK16)</f>
        <v>0</v>
      </c>
      <c r="AU13" s="1">
        <f>SUM(AL14:AL16)</f>
        <v>0</v>
      </c>
    </row>
    <row r="14" spans="1:76" x14ac:dyDescent="0.25">
      <c r="A14" s="2" t="s">
        <v>55</v>
      </c>
      <c r="B14" s="3" t="s">
        <v>51</v>
      </c>
      <c r="C14" s="3" t="s">
        <v>56</v>
      </c>
      <c r="D14" s="106" t="s">
        <v>57</v>
      </c>
      <c r="E14" s="107"/>
      <c r="F14" s="3" t="s">
        <v>58</v>
      </c>
      <c r="G14" s="38">
        <v>7</v>
      </c>
      <c r="H14" s="98"/>
      <c r="I14" s="39" t="s">
        <v>59</v>
      </c>
      <c r="J14" s="38">
        <f>G14*AO14</f>
        <v>0</v>
      </c>
      <c r="K14" s="38">
        <f>G14*AP14</f>
        <v>0</v>
      </c>
      <c r="L14" s="38">
        <f>G14*H14</f>
        <v>0</v>
      </c>
      <c r="M14" s="38">
        <f>L14*(1+BW14/100)</f>
        <v>0</v>
      </c>
      <c r="N14" s="38">
        <v>7.1300000000000001E-3</v>
      </c>
      <c r="O14" s="38">
        <f>G14*N14</f>
        <v>4.9910000000000003E-2</v>
      </c>
      <c r="P14" s="40" t="s">
        <v>60</v>
      </c>
      <c r="Z14" s="38">
        <f>IF(AQ14="5",BJ14,0)</f>
        <v>0</v>
      </c>
      <c r="AB14" s="38">
        <f>IF(AQ14="1",BH14,0)</f>
        <v>0</v>
      </c>
      <c r="AC14" s="38">
        <f>IF(AQ14="1",BI14,0)</f>
        <v>0</v>
      </c>
      <c r="AD14" s="38">
        <f>IF(AQ14="7",BH14,0)</f>
        <v>0</v>
      </c>
      <c r="AE14" s="38">
        <f>IF(AQ14="7",BI14,0)</f>
        <v>0</v>
      </c>
      <c r="AF14" s="38">
        <f>IF(AQ14="2",BH14,0)</f>
        <v>0</v>
      </c>
      <c r="AG14" s="38">
        <f>IF(AQ14="2",BI14,0)</f>
        <v>0</v>
      </c>
      <c r="AH14" s="38">
        <f>IF(AQ14="0",BJ14,0)</f>
        <v>0</v>
      </c>
      <c r="AI14" s="13" t="s">
        <v>51</v>
      </c>
      <c r="AJ14" s="38">
        <f>IF(AN14=0,L14,0)</f>
        <v>0</v>
      </c>
      <c r="AK14" s="38">
        <f>IF(AN14=12,L14,0)</f>
        <v>0</v>
      </c>
      <c r="AL14" s="38">
        <f>IF(AN14=21,L14,0)</f>
        <v>0</v>
      </c>
      <c r="AN14" s="38">
        <v>21</v>
      </c>
      <c r="AO14" s="38">
        <f>H14*0.051323829</f>
        <v>0</v>
      </c>
      <c r="AP14" s="38">
        <f>H14*(1-0.051323829)</f>
        <v>0</v>
      </c>
      <c r="AQ14" s="39" t="s">
        <v>55</v>
      </c>
      <c r="AV14" s="38">
        <f>AW14+AX14</f>
        <v>0</v>
      </c>
      <c r="AW14" s="38">
        <f>G14*AO14</f>
        <v>0</v>
      </c>
      <c r="AX14" s="38">
        <f>G14*AP14</f>
        <v>0</v>
      </c>
      <c r="AY14" s="39" t="s">
        <v>61</v>
      </c>
      <c r="AZ14" s="39" t="s">
        <v>62</v>
      </c>
      <c r="BA14" s="13" t="s">
        <v>63</v>
      </c>
      <c r="BC14" s="38">
        <f>AW14+AX14</f>
        <v>0</v>
      </c>
      <c r="BD14" s="38">
        <f>H14/(100-BE14)*100</f>
        <v>0</v>
      </c>
      <c r="BE14" s="38">
        <v>0</v>
      </c>
      <c r="BF14" s="38">
        <f>O14</f>
        <v>4.9910000000000003E-2</v>
      </c>
      <c r="BH14" s="38">
        <f>G14*AO14</f>
        <v>0</v>
      </c>
      <c r="BI14" s="38">
        <f>G14*AP14</f>
        <v>0</v>
      </c>
      <c r="BJ14" s="38">
        <f>G14*H14</f>
        <v>0</v>
      </c>
      <c r="BK14" s="38"/>
      <c r="BL14" s="38">
        <v>31</v>
      </c>
      <c r="BW14" s="38" t="str">
        <f>I14</f>
        <v>21</v>
      </c>
      <c r="BX14" s="5" t="s">
        <v>57</v>
      </c>
    </row>
    <row r="15" spans="1:76" x14ac:dyDescent="0.25">
      <c r="A15" s="2" t="s">
        <v>64</v>
      </c>
      <c r="B15" s="3" t="s">
        <v>51</v>
      </c>
      <c r="C15" s="3" t="s">
        <v>65</v>
      </c>
      <c r="D15" s="106" t="s">
        <v>66</v>
      </c>
      <c r="E15" s="107"/>
      <c r="F15" s="3" t="s">
        <v>58</v>
      </c>
      <c r="G15" s="38">
        <v>6</v>
      </c>
      <c r="H15" s="98"/>
      <c r="I15" s="39" t="s">
        <v>59</v>
      </c>
      <c r="J15" s="38">
        <f>G15*AO15</f>
        <v>0</v>
      </c>
      <c r="K15" s="38">
        <f>G15*AP15</f>
        <v>0</v>
      </c>
      <c r="L15" s="38">
        <f>G15*H15</f>
        <v>0</v>
      </c>
      <c r="M15" s="38">
        <f>L15*(1+BW15/100)</f>
        <v>0</v>
      </c>
      <c r="N15" s="38">
        <v>0.22911999999999999</v>
      </c>
      <c r="O15" s="38">
        <f>G15*N15</f>
        <v>1.3747199999999999</v>
      </c>
      <c r="P15" s="40" t="s">
        <v>67</v>
      </c>
      <c r="Z15" s="38">
        <f>IF(AQ15="5",BJ15,0)</f>
        <v>0</v>
      </c>
      <c r="AB15" s="38">
        <f>IF(AQ15="1",BH15,0)</f>
        <v>0</v>
      </c>
      <c r="AC15" s="38">
        <f>IF(AQ15="1",BI15,0)</f>
        <v>0</v>
      </c>
      <c r="AD15" s="38">
        <f>IF(AQ15="7",BH15,0)</f>
        <v>0</v>
      </c>
      <c r="AE15" s="38">
        <f>IF(AQ15="7",BI15,0)</f>
        <v>0</v>
      </c>
      <c r="AF15" s="38">
        <f>IF(AQ15="2",BH15,0)</f>
        <v>0</v>
      </c>
      <c r="AG15" s="38">
        <f>IF(AQ15="2",BI15,0)</f>
        <v>0</v>
      </c>
      <c r="AH15" s="38">
        <f>IF(AQ15="0",BJ15,0)</f>
        <v>0</v>
      </c>
      <c r="AI15" s="13" t="s">
        <v>51</v>
      </c>
      <c r="AJ15" s="38">
        <f>IF(AN15=0,L15,0)</f>
        <v>0</v>
      </c>
      <c r="AK15" s="38">
        <f>IF(AN15=12,L15,0)</f>
        <v>0</v>
      </c>
      <c r="AL15" s="38">
        <f>IF(AN15=21,L15,0)</f>
        <v>0</v>
      </c>
      <c r="AN15" s="38">
        <v>21</v>
      </c>
      <c r="AO15" s="38">
        <f>H15*0.421704498</f>
        <v>0</v>
      </c>
      <c r="AP15" s="38">
        <f>H15*(1-0.421704498)</f>
        <v>0</v>
      </c>
      <c r="AQ15" s="39" t="s">
        <v>55</v>
      </c>
      <c r="AV15" s="38">
        <f>AW15+AX15</f>
        <v>0</v>
      </c>
      <c r="AW15" s="38">
        <f>G15*AO15</f>
        <v>0</v>
      </c>
      <c r="AX15" s="38">
        <f>G15*AP15</f>
        <v>0</v>
      </c>
      <c r="AY15" s="39" t="s">
        <v>61</v>
      </c>
      <c r="AZ15" s="39" t="s">
        <v>62</v>
      </c>
      <c r="BA15" s="13" t="s">
        <v>63</v>
      </c>
      <c r="BC15" s="38">
        <f>AW15+AX15</f>
        <v>0</v>
      </c>
      <c r="BD15" s="38">
        <f>H15/(100-BE15)*100</f>
        <v>0</v>
      </c>
      <c r="BE15" s="38">
        <v>0</v>
      </c>
      <c r="BF15" s="38">
        <f>O15</f>
        <v>1.3747199999999999</v>
      </c>
      <c r="BH15" s="38">
        <f>G15*AO15</f>
        <v>0</v>
      </c>
      <c r="BI15" s="38">
        <f>G15*AP15</f>
        <v>0</v>
      </c>
      <c r="BJ15" s="38">
        <f>G15*H15</f>
        <v>0</v>
      </c>
      <c r="BK15" s="38"/>
      <c r="BL15" s="38">
        <v>31</v>
      </c>
      <c r="BW15" s="38" t="str">
        <f>I15</f>
        <v>21</v>
      </c>
      <c r="BX15" s="5" t="s">
        <v>66</v>
      </c>
    </row>
    <row r="16" spans="1:76" x14ac:dyDescent="0.25">
      <c r="A16" s="2" t="s">
        <v>68</v>
      </c>
      <c r="B16" s="3" t="s">
        <v>51</v>
      </c>
      <c r="C16" s="3" t="s">
        <v>69</v>
      </c>
      <c r="D16" s="106" t="s">
        <v>70</v>
      </c>
      <c r="E16" s="107"/>
      <c r="F16" s="3" t="s">
        <v>58</v>
      </c>
      <c r="G16" s="38">
        <v>1</v>
      </c>
      <c r="H16" s="98"/>
      <c r="I16" s="39" t="s">
        <v>59</v>
      </c>
      <c r="J16" s="38">
        <f>G16*AO16</f>
        <v>0</v>
      </c>
      <c r="K16" s="38">
        <f>G16*AP16</f>
        <v>0</v>
      </c>
      <c r="L16" s="38">
        <f>G16*H16</f>
        <v>0</v>
      </c>
      <c r="M16" s="38">
        <f>L16*(1+BW16/100)</f>
        <v>0</v>
      </c>
      <c r="N16" s="38">
        <v>0.22911999999999999</v>
      </c>
      <c r="O16" s="38">
        <f>G16*N16</f>
        <v>0.22911999999999999</v>
      </c>
      <c r="P16" s="40" t="s">
        <v>67</v>
      </c>
      <c r="Z16" s="38">
        <f>IF(AQ16="5",BJ16,0)</f>
        <v>0</v>
      </c>
      <c r="AB16" s="38">
        <f>IF(AQ16="1",BH16,0)</f>
        <v>0</v>
      </c>
      <c r="AC16" s="38">
        <f>IF(AQ16="1",BI16,0)</f>
        <v>0</v>
      </c>
      <c r="AD16" s="38">
        <f>IF(AQ16="7",BH16,0)</f>
        <v>0</v>
      </c>
      <c r="AE16" s="38">
        <f>IF(AQ16="7",BI16,0)</f>
        <v>0</v>
      </c>
      <c r="AF16" s="38">
        <f>IF(AQ16="2",BH16,0)</f>
        <v>0</v>
      </c>
      <c r="AG16" s="38">
        <f>IF(AQ16="2",BI16,0)</f>
        <v>0</v>
      </c>
      <c r="AH16" s="38">
        <f>IF(AQ16="0",BJ16,0)</f>
        <v>0</v>
      </c>
      <c r="AI16" s="13" t="s">
        <v>51</v>
      </c>
      <c r="AJ16" s="38">
        <f>IF(AN16=0,L16,0)</f>
        <v>0</v>
      </c>
      <c r="AK16" s="38">
        <f>IF(AN16=12,L16,0)</f>
        <v>0</v>
      </c>
      <c r="AL16" s="38">
        <f>IF(AN16=21,L16,0)</f>
        <v>0</v>
      </c>
      <c r="AN16" s="38">
        <v>21</v>
      </c>
      <c r="AO16" s="38">
        <f>H16*0.416684606</f>
        <v>0</v>
      </c>
      <c r="AP16" s="38">
        <f>H16*(1-0.416684606)</f>
        <v>0</v>
      </c>
      <c r="AQ16" s="39" t="s">
        <v>55</v>
      </c>
      <c r="AV16" s="38">
        <f>AW16+AX16</f>
        <v>0</v>
      </c>
      <c r="AW16" s="38">
        <f>G16*AO16</f>
        <v>0</v>
      </c>
      <c r="AX16" s="38">
        <f>G16*AP16</f>
        <v>0</v>
      </c>
      <c r="AY16" s="39" t="s">
        <v>61</v>
      </c>
      <c r="AZ16" s="39" t="s">
        <v>62</v>
      </c>
      <c r="BA16" s="13" t="s">
        <v>63</v>
      </c>
      <c r="BC16" s="38">
        <f>AW16+AX16</f>
        <v>0</v>
      </c>
      <c r="BD16" s="38">
        <f>H16/(100-BE16)*100</f>
        <v>0</v>
      </c>
      <c r="BE16" s="38">
        <v>0</v>
      </c>
      <c r="BF16" s="38">
        <f>O16</f>
        <v>0.22911999999999999</v>
      </c>
      <c r="BH16" s="38">
        <f>G16*AO16</f>
        <v>0</v>
      </c>
      <c r="BI16" s="38">
        <f>G16*AP16</f>
        <v>0</v>
      </c>
      <c r="BJ16" s="38">
        <f>G16*H16</f>
        <v>0</v>
      </c>
      <c r="BK16" s="38"/>
      <c r="BL16" s="38">
        <v>31</v>
      </c>
      <c r="BW16" s="38" t="str">
        <f>I16</f>
        <v>21</v>
      </c>
      <c r="BX16" s="5" t="s">
        <v>70</v>
      </c>
    </row>
    <row r="17" spans="1:76" x14ac:dyDescent="0.25">
      <c r="A17" s="33" t="s">
        <v>50</v>
      </c>
      <c r="B17" s="34" t="s">
        <v>51</v>
      </c>
      <c r="C17" s="34" t="s">
        <v>71</v>
      </c>
      <c r="D17" s="174" t="s">
        <v>72</v>
      </c>
      <c r="E17" s="175"/>
      <c r="F17" s="36" t="s">
        <v>4</v>
      </c>
      <c r="G17" s="36" t="s">
        <v>4</v>
      </c>
      <c r="H17" s="36" t="s">
        <v>4</v>
      </c>
      <c r="I17" s="36" t="s">
        <v>4</v>
      </c>
      <c r="J17" s="1">
        <f>SUM(J18:J58)</f>
        <v>0</v>
      </c>
      <c r="K17" s="1">
        <f>SUM(K18:K58)</f>
        <v>0</v>
      </c>
      <c r="L17" s="1">
        <f>SUM(L18:L58)</f>
        <v>0</v>
      </c>
      <c r="M17" s="1">
        <f>SUM(M18:M58)</f>
        <v>0</v>
      </c>
      <c r="N17" s="13" t="s">
        <v>50</v>
      </c>
      <c r="O17" s="1">
        <f>SUM(O18:O58)</f>
        <v>18.673143827500006</v>
      </c>
      <c r="P17" s="37" t="s">
        <v>50</v>
      </c>
      <c r="AI17" s="13" t="s">
        <v>51</v>
      </c>
      <c r="AS17" s="1">
        <f>SUM(AJ18:AJ58)</f>
        <v>0</v>
      </c>
      <c r="AT17" s="1">
        <f>SUM(AK18:AK58)</f>
        <v>0</v>
      </c>
      <c r="AU17" s="1">
        <f>SUM(AL18:AL58)</f>
        <v>0</v>
      </c>
    </row>
    <row r="18" spans="1:76" x14ac:dyDescent="0.25">
      <c r="A18" s="2" t="s">
        <v>73</v>
      </c>
      <c r="B18" s="3" t="s">
        <v>51</v>
      </c>
      <c r="C18" s="3" t="s">
        <v>74</v>
      </c>
      <c r="D18" s="106" t="s">
        <v>75</v>
      </c>
      <c r="E18" s="107"/>
      <c r="F18" s="3" t="s">
        <v>58</v>
      </c>
      <c r="G18" s="38">
        <v>16</v>
      </c>
      <c r="H18" s="98"/>
      <c r="I18" s="39" t="s">
        <v>59</v>
      </c>
      <c r="J18" s="38">
        <f>G18*AO18</f>
        <v>0</v>
      </c>
      <c r="K18" s="38">
        <f>G18*AP18</f>
        <v>0</v>
      </c>
      <c r="L18" s="38">
        <f>G18*H18</f>
        <v>0</v>
      </c>
      <c r="M18" s="38">
        <f>L18*(1+BW18/100)</f>
        <v>0</v>
      </c>
      <c r="N18" s="38">
        <v>0</v>
      </c>
      <c r="O18" s="38">
        <f>G18*N18</f>
        <v>0</v>
      </c>
      <c r="P18" s="40" t="s">
        <v>60</v>
      </c>
      <c r="Z18" s="38">
        <f>IF(AQ18="5",BJ18,0)</f>
        <v>0</v>
      </c>
      <c r="AB18" s="38">
        <f>IF(AQ18="1",BH18,0)</f>
        <v>0</v>
      </c>
      <c r="AC18" s="38">
        <f>IF(AQ18="1",BI18,0)</f>
        <v>0</v>
      </c>
      <c r="AD18" s="38">
        <f>IF(AQ18="7",BH18,0)</f>
        <v>0</v>
      </c>
      <c r="AE18" s="38">
        <f>IF(AQ18="7",BI18,0)</f>
        <v>0</v>
      </c>
      <c r="AF18" s="38">
        <f>IF(AQ18="2",BH18,0)</f>
        <v>0</v>
      </c>
      <c r="AG18" s="38">
        <f>IF(AQ18="2",BI18,0)</f>
        <v>0</v>
      </c>
      <c r="AH18" s="38">
        <f>IF(AQ18="0",BJ18,0)</f>
        <v>0</v>
      </c>
      <c r="AI18" s="13" t="s">
        <v>51</v>
      </c>
      <c r="AJ18" s="38">
        <f>IF(AN18=0,L18,0)</f>
        <v>0</v>
      </c>
      <c r="AK18" s="38">
        <f>IF(AN18=12,L18,0)</f>
        <v>0</v>
      </c>
      <c r="AL18" s="38">
        <f>IF(AN18=21,L18,0)</f>
        <v>0</v>
      </c>
      <c r="AN18" s="38">
        <v>21</v>
      </c>
      <c r="AO18" s="38">
        <f>H18*0</f>
        <v>0</v>
      </c>
      <c r="AP18" s="38">
        <f>H18*(1-0)</f>
        <v>0</v>
      </c>
      <c r="AQ18" s="39" t="s">
        <v>55</v>
      </c>
      <c r="AV18" s="38">
        <f>AW18+AX18</f>
        <v>0</v>
      </c>
      <c r="AW18" s="38">
        <f>G18*AO18</f>
        <v>0</v>
      </c>
      <c r="AX18" s="38">
        <f>G18*AP18</f>
        <v>0</v>
      </c>
      <c r="AY18" s="39" t="s">
        <v>76</v>
      </c>
      <c r="AZ18" s="39" t="s">
        <v>77</v>
      </c>
      <c r="BA18" s="13" t="s">
        <v>63</v>
      </c>
      <c r="BC18" s="38">
        <f>AW18+AX18</f>
        <v>0</v>
      </c>
      <c r="BD18" s="38">
        <f>H18/(100-BE18)*100</f>
        <v>0</v>
      </c>
      <c r="BE18" s="38">
        <v>0</v>
      </c>
      <c r="BF18" s="38">
        <f>O18</f>
        <v>0</v>
      </c>
      <c r="BH18" s="38">
        <f>G18*AO18</f>
        <v>0</v>
      </c>
      <c r="BI18" s="38">
        <f>G18*AP18</f>
        <v>0</v>
      </c>
      <c r="BJ18" s="38">
        <f>G18*H18</f>
        <v>0</v>
      </c>
      <c r="BK18" s="38"/>
      <c r="BL18" s="38">
        <v>96</v>
      </c>
      <c r="BW18" s="38" t="str">
        <f>I18</f>
        <v>21</v>
      </c>
      <c r="BX18" s="5" t="s">
        <v>75</v>
      </c>
    </row>
    <row r="19" spans="1:76" ht="38.25" x14ac:dyDescent="0.25">
      <c r="A19" s="41"/>
      <c r="C19" s="42" t="s">
        <v>78</v>
      </c>
      <c r="D19" s="178" t="s">
        <v>79</v>
      </c>
      <c r="E19" s="179"/>
      <c r="F19" s="179"/>
      <c r="G19" s="179"/>
      <c r="H19" s="179"/>
      <c r="I19" s="179"/>
      <c r="J19" s="179"/>
      <c r="K19" s="179"/>
      <c r="L19" s="179"/>
      <c r="M19" s="179"/>
      <c r="N19" s="179"/>
      <c r="O19" s="179"/>
      <c r="P19" s="180"/>
      <c r="BX19" s="43" t="s">
        <v>79</v>
      </c>
    </row>
    <row r="20" spans="1:76" x14ac:dyDescent="0.25">
      <c r="A20" s="2" t="s">
        <v>80</v>
      </c>
      <c r="B20" s="3" t="s">
        <v>51</v>
      </c>
      <c r="C20" s="3" t="s">
        <v>81</v>
      </c>
      <c r="D20" s="106" t="s">
        <v>82</v>
      </c>
      <c r="E20" s="107"/>
      <c r="F20" s="3" t="s">
        <v>83</v>
      </c>
      <c r="G20" s="38">
        <v>3.36</v>
      </c>
      <c r="H20" s="98"/>
      <c r="I20" s="39" t="s">
        <v>59</v>
      </c>
      <c r="J20" s="38">
        <f>G20*AO20</f>
        <v>0</v>
      </c>
      <c r="K20" s="38">
        <f>G20*AP20</f>
        <v>0</v>
      </c>
      <c r="L20" s="38">
        <f>G20*H20</f>
        <v>0</v>
      </c>
      <c r="M20" s="38">
        <f>L20*(1+BW20/100)</f>
        <v>0</v>
      </c>
      <c r="N20" s="38">
        <v>8.9169999999999999E-2</v>
      </c>
      <c r="O20" s="38">
        <f>G20*N20</f>
        <v>0.29961119999999997</v>
      </c>
      <c r="P20" s="40" t="s">
        <v>60</v>
      </c>
      <c r="Z20" s="38">
        <f>IF(AQ20="5",BJ20,0)</f>
        <v>0</v>
      </c>
      <c r="AB20" s="38">
        <f>IF(AQ20="1",BH20,0)</f>
        <v>0</v>
      </c>
      <c r="AC20" s="38">
        <f>IF(AQ20="1",BI20,0)</f>
        <v>0</v>
      </c>
      <c r="AD20" s="38">
        <f>IF(AQ20="7",BH20,0)</f>
        <v>0</v>
      </c>
      <c r="AE20" s="38">
        <f>IF(AQ20="7",BI20,0)</f>
        <v>0</v>
      </c>
      <c r="AF20" s="38">
        <f>IF(AQ20="2",BH20,0)</f>
        <v>0</v>
      </c>
      <c r="AG20" s="38">
        <f>IF(AQ20="2",BI20,0)</f>
        <v>0</v>
      </c>
      <c r="AH20" s="38">
        <f>IF(AQ20="0",BJ20,0)</f>
        <v>0</v>
      </c>
      <c r="AI20" s="13" t="s">
        <v>51</v>
      </c>
      <c r="AJ20" s="38">
        <f>IF(AN20=0,L20,0)</f>
        <v>0</v>
      </c>
      <c r="AK20" s="38">
        <f>IF(AN20=12,L20,0)</f>
        <v>0</v>
      </c>
      <c r="AL20" s="38">
        <f>IF(AN20=21,L20,0)</f>
        <v>0</v>
      </c>
      <c r="AN20" s="38">
        <v>21</v>
      </c>
      <c r="AO20" s="38">
        <f>H20*0.107115987</f>
        <v>0</v>
      </c>
      <c r="AP20" s="38">
        <f>H20*(1-0.107115987)</f>
        <v>0</v>
      </c>
      <c r="AQ20" s="39" t="s">
        <v>55</v>
      </c>
      <c r="AV20" s="38">
        <f>AW20+AX20</f>
        <v>0</v>
      </c>
      <c r="AW20" s="38">
        <f>G20*AO20</f>
        <v>0</v>
      </c>
      <c r="AX20" s="38">
        <f>G20*AP20</f>
        <v>0</v>
      </c>
      <c r="AY20" s="39" t="s">
        <v>76</v>
      </c>
      <c r="AZ20" s="39" t="s">
        <v>77</v>
      </c>
      <c r="BA20" s="13" t="s">
        <v>63</v>
      </c>
      <c r="BC20" s="38">
        <f>AW20+AX20</f>
        <v>0</v>
      </c>
      <c r="BD20" s="38">
        <f>H20/(100-BE20)*100</f>
        <v>0</v>
      </c>
      <c r="BE20" s="38">
        <v>0</v>
      </c>
      <c r="BF20" s="38">
        <f>O20</f>
        <v>0.29961119999999997</v>
      </c>
      <c r="BH20" s="38">
        <f>G20*AO20</f>
        <v>0</v>
      </c>
      <c r="BI20" s="38">
        <f>G20*AP20</f>
        <v>0</v>
      </c>
      <c r="BJ20" s="38">
        <f>G20*H20</f>
        <v>0</v>
      </c>
      <c r="BK20" s="38"/>
      <c r="BL20" s="38">
        <v>96</v>
      </c>
      <c r="BW20" s="38" t="str">
        <f>I20</f>
        <v>21</v>
      </c>
      <c r="BX20" s="5" t="s">
        <v>82</v>
      </c>
    </row>
    <row r="21" spans="1:76" x14ac:dyDescent="0.25">
      <c r="A21" s="2" t="s">
        <v>84</v>
      </c>
      <c r="B21" s="3" t="s">
        <v>51</v>
      </c>
      <c r="C21" s="3" t="s">
        <v>85</v>
      </c>
      <c r="D21" s="106" t="s">
        <v>86</v>
      </c>
      <c r="E21" s="107"/>
      <c r="F21" s="3" t="s">
        <v>83</v>
      </c>
      <c r="G21" s="38">
        <v>3.2</v>
      </c>
      <c r="H21" s="98"/>
      <c r="I21" s="39" t="s">
        <v>59</v>
      </c>
      <c r="J21" s="38">
        <f>G21*AO21</f>
        <v>0</v>
      </c>
      <c r="K21" s="38">
        <f>G21*AP21</f>
        <v>0</v>
      </c>
      <c r="L21" s="38">
        <f>G21*H21</f>
        <v>0</v>
      </c>
      <c r="M21" s="38">
        <f>L21*(1+BW21/100)</f>
        <v>0</v>
      </c>
      <c r="N21" s="38">
        <v>7.7170000000000002E-2</v>
      </c>
      <c r="O21" s="38">
        <f>G21*N21</f>
        <v>0.24694400000000002</v>
      </c>
      <c r="P21" s="40" t="s">
        <v>60</v>
      </c>
      <c r="Z21" s="38">
        <f>IF(AQ21="5",BJ21,0)</f>
        <v>0</v>
      </c>
      <c r="AB21" s="38">
        <f>IF(AQ21="1",BH21,0)</f>
        <v>0</v>
      </c>
      <c r="AC21" s="38">
        <f>IF(AQ21="1",BI21,0)</f>
        <v>0</v>
      </c>
      <c r="AD21" s="38">
        <f>IF(AQ21="7",BH21,0)</f>
        <v>0</v>
      </c>
      <c r="AE21" s="38">
        <f>IF(AQ21="7",BI21,0)</f>
        <v>0</v>
      </c>
      <c r="AF21" s="38">
        <f>IF(AQ21="2",BH21,0)</f>
        <v>0</v>
      </c>
      <c r="AG21" s="38">
        <f>IF(AQ21="2",BI21,0)</f>
        <v>0</v>
      </c>
      <c r="AH21" s="38">
        <f>IF(AQ21="0",BJ21,0)</f>
        <v>0</v>
      </c>
      <c r="AI21" s="13" t="s">
        <v>51</v>
      </c>
      <c r="AJ21" s="38">
        <f>IF(AN21=0,L21,0)</f>
        <v>0</v>
      </c>
      <c r="AK21" s="38">
        <f>IF(AN21=12,L21,0)</f>
        <v>0</v>
      </c>
      <c r="AL21" s="38">
        <f>IF(AN21=21,L21,0)</f>
        <v>0</v>
      </c>
      <c r="AN21" s="38">
        <v>21</v>
      </c>
      <c r="AO21" s="38">
        <f>H21*0.066868885</f>
        <v>0</v>
      </c>
      <c r="AP21" s="38">
        <f>H21*(1-0.066868885)</f>
        <v>0</v>
      </c>
      <c r="AQ21" s="39" t="s">
        <v>55</v>
      </c>
      <c r="AV21" s="38">
        <f>AW21+AX21</f>
        <v>0</v>
      </c>
      <c r="AW21" s="38">
        <f>G21*AO21</f>
        <v>0</v>
      </c>
      <c r="AX21" s="38">
        <f>G21*AP21</f>
        <v>0</v>
      </c>
      <c r="AY21" s="39" t="s">
        <v>76</v>
      </c>
      <c r="AZ21" s="39" t="s">
        <v>77</v>
      </c>
      <c r="BA21" s="13" t="s">
        <v>63</v>
      </c>
      <c r="BC21" s="38">
        <f>AW21+AX21</f>
        <v>0</v>
      </c>
      <c r="BD21" s="38">
        <f>H21/(100-BE21)*100</f>
        <v>0</v>
      </c>
      <c r="BE21" s="38">
        <v>0</v>
      </c>
      <c r="BF21" s="38">
        <f>O21</f>
        <v>0.24694400000000002</v>
      </c>
      <c r="BH21" s="38">
        <f>G21*AO21</f>
        <v>0</v>
      </c>
      <c r="BI21" s="38">
        <f>G21*AP21</f>
        <v>0</v>
      </c>
      <c r="BJ21" s="38">
        <f>G21*H21</f>
        <v>0</v>
      </c>
      <c r="BK21" s="38"/>
      <c r="BL21" s="38">
        <v>96</v>
      </c>
      <c r="BW21" s="38" t="str">
        <f>I21</f>
        <v>21</v>
      </c>
      <c r="BX21" s="5" t="s">
        <v>86</v>
      </c>
    </row>
    <row r="22" spans="1:76" x14ac:dyDescent="0.25">
      <c r="A22" s="2" t="s">
        <v>87</v>
      </c>
      <c r="B22" s="3" t="s">
        <v>51</v>
      </c>
      <c r="C22" s="3" t="s">
        <v>88</v>
      </c>
      <c r="D22" s="106" t="s">
        <v>89</v>
      </c>
      <c r="E22" s="107"/>
      <c r="F22" s="3" t="s">
        <v>83</v>
      </c>
      <c r="G22" s="38">
        <v>0.96</v>
      </c>
      <c r="H22" s="98"/>
      <c r="I22" s="39" t="s">
        <v>59</v>
      </c>
      <c r="J22" s="38">
        <f>G22*AO22</f>
        <v>0</v>
      </c>
      <c r="K22" s="38">
        <f>G22*AP22</f>
        <v>0</v>
      </c>
      <c r="L22" s="38">
        <f>G22*H22</f>
        <v>0</v>
      </c>
      <c r="M22" s="38">
        <f>L22*(1+BW22/100)</f>
        <v>0</v>
      </c>
      <c r="N22" s="38">
        <v>5.8999999999999997E-2</v>
      </c>
      <c r="O22" s="38">
        <f>G22*N22</f>
        <v>5.6639999999999996E-2</v>
      </c>
      <c r="P22" s="40" t="s">
        <v>60</v>
      </c>
      <c r="Z22" s="38">
        <f>IF(AQ22="5",BJ22,0)</f>
        <v>0</v>
      </c>
      <c r="AB22" s="38">
        <f>IF(AQ22="1",BH22,0)</f>
        <v>0</v>
      </c>
      <c r="AC22" s="38">
        <f>IF(AQ22="1",BI22,0)</f>
        <v>0</v>
      </c>
      <c r="AD22" s="38">
        <f>IF(AQ22="7",BH22,0)</f>
        <v>0</v>
      </c>
      <c r="AE22" s="38">
        <f>IF(AQ22="7",BI22,0)</f>
        <v>0</v>
      </c>
      <c r="AF22" s="38">
        <f>IF(AQ22="2",BH22,0)</f>
        <v>0</v>
      </c>
      <c r="AG22" s="38">
        <f>IF(AQ22="2",BI22,0)</f>
        <v>0</v>
      </c>
      <c r="AH22" s="38">
        <f>IF(AQ22="0",BJ22,0)</f>
        <v>0</v>
      </c>
      <c r="AI22" s="13" t="s">
        <v>51</v>
      </c>
      <c r="AJ22" s="38">
        <f>IF(AN22=0,L22,0)</f>
        <v>0</v>
      </c>
      <c r="AK22" s="38">
        <f>IF(AN22=12,L22,0)</f>
        <v>0</v>
      </c>
      <c r="AL22" s="38">
        <f>IF(AN22=21,L22,0)</f>
        <v>0</v>
      </c>
      <c r="AN22" s="38">
        <v>21</v>
      </c>
      <c r="AO22" s="38">
        <f>H22*0</f>
        <v>0</v>
      </c>
      <c r="AP22" s="38">
        <f>H22*(1-0)</f>
        <v>0</v>
      </c>
      <c r="AQ22" s="39" t="s">
        <v>55</v>
      </c>
      <c r="AV22" s="38">
        <f>AW22+AX22</f>
        <v>0</v>
      </c>
      <c r="AW22" s="38">
        <f>G22*AO22</f>
        <v>0</v>
      </c>
      <c r="AX22" s="38">
        <f>G22*AP22</f>
        <v>0</v>
      </c>
      <c r="AY22" s="39" t="s">
        <v>76</v>
      </c>
      <c r="AZ22" s="39" t="s">
        <v>77</v>
      </c>
      <c r="BA22" s="13" t="s">
        <v>63</v>
      </c>
      <c r="BC22" s="38">
        <f>AW22+AX22</f>
        <v>0</v>
      </c>
      <c r="BD22" s="38">
        <f>H22/(100-BE22)*100</f>
        <v>0</v>
      </c>
      <c r="BE22" s="38">
        <v>0</v>
      </c>
      <c r="BF22" s="38">
        <f>O22</f>
        <v>5.6639999999999996E-2</v>
      </c>
      <c r="BH22" s="38">
        <f>G22*AO22</f>
        <v>0</v>
      </c>
      <c r="BI22" s="38">
        <f>G22*AP22</f>
        <v>0</v>
      </c>
      <c r="BJ22" s="38">
        <f>G22*H22</f>
        <v>0</v>
      </c>
      <c r="BK22" s="38"/>
      <c r="BL22" s="38">
        <v>96</v>
      </c>
      <c r="BW22" s="38" t="str">
        <f>I22</f>
        <v>21</v>
      </c>
      <c r="BX22" s="5" t="s">
        <v>89</v>
      </c>
    </row>
    <row r="23" spans="1:76" x14ac:dyDescent="0.25">
      <c r="A23" s="2" t="s">
        <v>90</v>
      </c>
      <c r="B23" s="3" t="s">
        <v>51</v>
      </c>
      <c r="C23" s="3" t="s">
        <v>91</v>
      </c>
      <c r="D23" s="106" t="s">
        <v>92</v>
      </c>
      <c r="E23" s="107"/>
      <c r="F23" s="3" t="s">
        <v>83</v>
      </c>
      <c r="G23" s="38">
        <v>50.805750000000003</v>
      </c>
      <c r="H23" s="98"/>
      <c r="I23" s="39" t="s">
        <v>59</v>
      </c>
      <c r="J23" s="38">
        <f>G23*AO23</f>
        <v>0</v>
      </c>
      <c r="K23" s="38">
        <f>G23*AP23</f>
        <v>0</v>
      </c>
      <c r="L23" s="38">
        <f>G23*H23</f>
        <v>0</v>
      </c>
      <c r="M23" s="38">
        <f>L23*(1+BW23/100)</f>
        <v>0</v>
      </c>
      <c r="N23" s="38">
        <v>1.1010000000000001E-2</v>
      </c>
      <c r="O23" s="38">
        <f>G23*N23</f>
        <v>0.55937130750000008</v>
      </c>
      <c r="P23" s="40" t="s">
        <v>60</v>
      </c>
      <c r="Z23" s="38">
        <f>IF(AQ23="5",BJ23,0)</f>
        <v>0</v>
      </c>
      <c r="AB23" s="38">
        <f>IF(AQ23="1",BH23,0)</f>
        <v>0</v>
      </c>
      <c r="AC23" s="38">
        <f>IF(AQ23="1",BI23,0)</f>
        <v>0</v>
      </c>
      <c r="AD23" s="38">
        <f>IF(AQ23="7",BH23,0)</f>
        <v>0</v>
      </c>
      <c r="AE23" s="38">
        <f>IF(AQ23="7",BI23,0)</f>
        <v>0</v>
      </c>
      <c r="AF23" s="38">
        <f>IF(AQ23="2",BH23,0)</f>
        <v>0</v>
      </c>
      <c r="AG23" s="38">
        <f>IF(AQ23="2",BI23,0)</f>
        <v>0</v>
      </c>
      <c r="AH23" s="38">
        <f>IF(AQ23="0",BJ23,0)</f>
        <v>0</v>
      </c>
      <c r="AI23" s="13" t="s">
        <v>51</v>
      </c>
      <c r="AJ23" s="38">
        <f>IF(AN23=0,L23,0)</f>
        <v>0</v>
      </c>
      <c r="AK23" s="38">
        <f>IF(AN23=12,L23,0)</f>
        <v>0</v>
      </c>
      <c r="AL23" s="38">
        <f>IF(AN23=21,L23,0)</f>
        <v>0</v>
      </c>
      <c r="AN23" s="38">
        <v>21</v>
      </c>
      <c r="AO23" s="38">
        <f>H23*0.081092494</f>
        <v>0</v>
      </c>
      <c r="AP23" s="38">
        <f>H23*(1-0.081092494)</f>
        <v>0</v>
      </c>
      <c r="AQ23" s="39" t="s">
        <v>55</v>
      </c>
      <c r="AV23" s="38">
        <f>AW23+AX23</f>
        <v>0</v>
      </c>
      <c r="AW23" s="38">
        <f>G23*AO23</f>
        <v>0</v>
      </c>
      <c r="AX23" s="38">
        <f>G23*AP23</f>
        <v>0</v>
      </c>
      <c r="AY23" s="39" t="s">
        <v>76</v>
      </c>
      <c r="AZ23" s="39" t="s">
        <v>77</v>
      </c>
      <c r="BA23" s="13" t="s">
        <v>63</v>
      </c>
      <c r="BC23" s="38">
        <f>AW23+AX23</f>
        <v>0</v>
      </c>
      <c r="BD23" s="38">
        <f>H23/(100-BE23)*100</f>
        <v>0</v>
      </c>
      <c r="BE23" s="38">
        <v>0</v>
      </c>
      <c r="BF23" s="38">
        <f>O23</f>
        <v>0.55937130750000008</v>
      </c>
      <c r="BH23" s="38">
        <f>G23*AO23</f>
        <v>0</v>
      </c>
      <c r="BI23" s="38">
        <f>G23*AP23</f>
        <v>0</v>
      </c>
      <c r="BJ23" s="38">
        <f>G23*H23</f>
        <v>0</v>
      </c>
      <c r="BK23" s="38"/>
      <c r="BL23" s="38">
        <v>96</v>
      </c>
      <c r="BW23" s="38" t="str">
        <f>I23</f>
        <v>21</v>
      </c>
      <c r="BX23" s="5" t="s">
        <v>92</v>
      </c>
    </row>
    <row r="24" spans="1:76" ht="25.5" x14ac:dyDescent="0.25">
      <c r="A24" s="41"/>
      <c r="C24" s="42" t="s">
        <v>78</v>
      </c>
      <c r="D24" s="178" t="s">
        <v>93</v>
      </c>
      <c r="E24" s="179"/>
      <c r="F24" s="179"/>
      <c r="G24" s="179"/>
      <c r="H24" s="179"/>
      <c r="I24" s="179"/>
      <c r="J24" s="179"/>
      <c r="K24" s="179"/>
      <c r="L24" s="179"/>
      <c r="M24" s="179"/>
      <c r="N24" s="179"/>
      <c r="O24" s="179"/>
      <c r="P24" s="180"/>
      <c r="BX24" s="43" t="s">
        <v>93</v>
      </c>
    </row>
    <row r="25" spans="1:76" x14ac:dyDescent="0.25">
      <c r="A25" s="2" t="s">
        <v>94</v>
      </c>
      <c r="B25" s="3" t="s">
        <v>51</v>
      </c>
      <c r="C25" s="3" t="s">
        <v>95</v>
      </c>
      <c r="D25" s="106" t="s">
        <v>96</v>
      </c>
      <c r="E25" s="107"/>
      <c r="F25" s="3" t="s">
        <v>83</v>
      </c>
      <c r="G25" s="38">
        <v>46.81</v>
      </c>
      <c r="H25" s="98"/>
      <c r="I25" s="39" t="s">
        <v>59</v>
      </c>
      <c r="J25" s="38">
        <f>G25*AO25</f>
        <v>0</v>
      </c>
      <c r="K25" s="38">
        <f>G25*AP25</f>
        <v>0</v>
      </c>
      <c r="L25" s="38">
        <f>G25*H25</f>
        <v>0</v>
      </c>
      <c r="M25" s="38">
        <f>L25*(1+BW25/100)</f>
        <v>0</v>
      </c>
      <c r="N25" s="38">
        <v>0.02</v>
      </c>
      <c r="O25" s="38">
        <f>G25*N25</f>
        <v>0.93620000000000003</v>
      </c>
      <c r="P25" s="40" t="s">
        <v>60</v>
      </c>
      <c r="Z25" s="38">
        <f>IF(AQ25="5",BJ25,0)</f>
        <v>0</v>
      </c>
      <c r="AB25" s="38">
        <f>IF(AQ25="1",BH25,0)</f>
        <v>0</v>
      </c>
      <c r="AC25" s="38">
        <f>IF(AQ25="1",BI25,0)</f>
        <v>0</v>
      </c>
      <c r="AD25" s="38">
        <f>IF(AQ25="7",BH25,0)</f>
        <v>0</v>
      </c>
      <c r="AE25" s="38">
        <f>IF(AQ25="7",BI25,0)</f>
        <v>0</v>
      </c>
      <c r="AF25" s="38">
        <f>IF(AQ25="2",BH25,0)</f>
        <v>0</v>
      </c>
      <c r="AG25" s="38">
        <f>IF(AQ25="2",BI25,0)</f>
        <v>0</v>
      </c>
      <c r="AH25" s="38">
        <f>IF(AQ25="0",BJ25,0)</f>
        <v>0</v>
      </c>
      <c r="AI25" s="13" t="s">
        <v>51</v>
      </c>
      <c r="AJ25" s="38">
        <f>IF(AN25=0,L25,0)</f>
        <v>0</v>
      </c>
      <c r="AK25" s="38">
        <f>IF(AN25=12,L25,0)</f>
        <v>0</v>
      </c>
      <c r="AL25" s="38">
        <f>IF(AN25=21,L25,0)</f>
        <v>0</v>
      </c>
      <c r="AN25" s="38">
        <v>21</v>
      </c>
      <c r="AO25" s="38">
        <f>H25*0</f>
        <v>0</v>
      </c>
      <c r="AP25" s="38">
        <f>H25*(1-0)</f>
        <v>0</v>
      </c>
      <c r="AQ25" s="39" t="s">
        <v>55</v>
      </c>
      <c r="AV25" s="38">
        <f>AW25+AX25</f>
        <v>0</v>
      </c>
      <c r="AW25" s="38">
        <f>G25*AO25</f>
        <v>0</v>
      </c>
      <c r="AX25" s="38">
        <f>G25*AP25</f>
        <v>0</v>
      </c>
      <c r="AY25" s="39" t="s">
        <v>76</v>
      </c>
      <c r="AZ25" s="39" t="s">
        <v>77</v>
      </c>
      <c r="BA25" s="13" t="s">
        <v>63</v>
      </c>
      <c r="BC25" s="38">
        <f>AW25+AX25</f>
        <v>0</v>
      </c>
      <c r="BD25" s="38">
        <f>H25/(100-BE25)*100</f>
        <v>0</v>
      </c>
      <c r="BE25" s="38">
        <v>0</v>
      </c>
      <c r="BF25" s="38">
        <f>O25</f>
        <v>0.93620000000000003</v>
      </c>
      <c r="BH25" s="38">
        <f>G25*AO25</f>
        <v>0</v>
      </c>
      <c r="BI25" s="38">
        <f>G25*AP25</f>
        <v>0</v>
      </c>
      <c r="BJ25" s="38">
        <f>G25*H25</f>
        <v>0</v>
      </c>
      <c r="BK25" s="38"/>
      <c r="BL25" s="38">
        <v>96</v>
      </c>
      <c r="BW25" s="38" t="str">
        <f>I25</f>
        <v>21</v>
      </c>
      <c r="BX25" s="5" t="s">
        <v>96</v>
      </c>
    </row>
    <row r="26" spans="1:76" ht="13.5" customHeight="1" x14ac:dyDescent="0.25">
      <c r="A26" s="41"/>
      <c r="C26" s="42" t="s">
        <v>97</v>
      </c>
      <c r="D26" s="178" t="s">
        <v>98</v>
      </c>
      <c r="E26" s="179"/>
      <c r="F26" s="179"/>
      <c r="G26" s="179"/>
      <c r="H26" s="179"/>
      <c r="I26" s="179"/>
      <c r="J26" s="179"/>
      <c r="K26" s="179"/>
      <c r="L26" s="179"/>
      <c r="M26" s="179"/>
      <c r="N26" s="179"/>
      <c r="O26" s="179"/>
      <c r="P26" s="180"/>
    </row>
    <row r="27" spans="1:76" x14ac:dyDescent="0.25">
      <c r="A27" s="2" t="s">
        <v>99</v>
      </c>
      <c r="B27" s="3" t="s">
        <v>51</v>
      </c>
      <c r="C27" s="3" t="s">
        <v>100</v>
      </c>
      <c r="D27" s="106" t="s">
        <v>101</v>
      </c>
      <c r="E27" s="107"/>
      <c r="F27" s="3" t="s">
        <v>83</v>
      </c>
      <c r="G27" s="38">
        <v>46.81</v>
      </c>
      <c r="H27" s="98"/>
      <c r="I27" s="39" t="s">
        <v>59</v>
      </c>
      <c r="J27" s="38">
        <f t="shared" ref="J27:J33" si="0">G27*AO27</f>
        <v>0</v>
      </c>
      <c r="K27" s="38">
        <f t="shared" ref="K27:K33" si="1">G27*AP27</f>
        <v>0</v>
      </c>
      <c r="L27" s="38">
        <f t="shared" ref="L27:L33" si="2">G27*H27</f>
        <v>0</v>
      </c>
      <c r="M27" s="38">
        <f t="shared" ref="M27:M33" si="3">L27*(1+BW27/100)</f>
        <v>0</v>
      </c>
      <c r="N27" s="38">
        <v>2.5510000000000001E-2</v>
      </c>
      <c r="O27" s="38">
        <f t="shared" ref="O27:O33" si="4">G27*N27</f>
        <v>1.1941231000000001</v>
      </c>
      <c r="P27" s="40" t="s">
        <v>60</v>
      </c>
      <c r="Z27" s="38">
        <f t="shared" ref="Z27:Z33" si="5">IF(AQ27="5",BJ27,0)</f>
        <v>0</v>
      </c>
      <c r="AB27" s="38">
        <f t="shared" ref="AB27:AB33" si="6">IF(AQ27="1",BH27,0)</f>
        <v>0</v>
      </c>
      <c r="AC27" s="38">
        <f t="shared" ref="AC27:AC33" si="7">IF(AQ27="1",BI27,0)</f>
        <v>0</v>
      </c>
      <c r="AD27" s="38">
        <f t="shared" ref="AD27:AD33" si="8">IF(AQ27="7",BH27,0)</f>
        <v>0</v>
      </c>
      <c r="AE27" s="38">
        <f t="shared" ref="AE27:AE33" si="9">IF(AQ27="7",BI27,0)</f>
        <v>0</v>
      </c>
      <c r="AF27" s="38">
        <f t="shared" ref="AF27:AF33" si="10">IF(AQ27="2",BH27,0)</f>
        <v>0</v>
      </c>
      <c r="AG27" s="38">
        <f t="shared" ref="AG27:AG33" si="11">IF(AQ27="2",BI27,0)</f>
        <v>0</v>
      </c>
      <c r="AH27" s="38">
        <f t="shared" ref="AH27:AH33" si="12">IF(AQ27="0",BJ27,0)</f>
        <v>0</v>
      </c>
      <c r="AI27" s="13" t="s">
        <v>51</v>
      </c>
      <c r="AJ27" s="38">
        <f t="shared" ref="AJ27:AJ33" si="13">IF(AN27=0,L27,0)</f>
        <v>0</v>
      </c>
      <c r="AK27" s="38">
        <f t="shared" ref="AK27:AK33" si="14">IF(AN27=12,L27,0)</f>
        <v>0</v>
      </c>
      <c r="AL27" s="38">
        <f t="shared" ref="AL27:AL33" si="15">IF(AN27=21,L27,0)</f>
        <v>0</v>
      </c>
      <c r="AN27" s="38">
        <v>21</v>
      </c>
      <c r="AO27" s="38">
        <f>H27*0</f>
        <v>0</v>
      </c>
      <c r="AP27" s="38">
        <f>H27*(1-0)</f>
        <v>0</v>
      </c>
      <c r="AQ27" s="39" t="s">
        <v>55</v>
      </c>
      <c r="AV27" s="38">
        <f t="shared" ref="AV27:AV33" si="16">AW27+AX27</f>
        <v>0</v>
      </c>
      <c r="AW27" s="38">
        <f t="shared" ref="AW27:AW33" si="17">G27*AO27</f>
        <v>0</v>
      </c>
      <c r="AX27" s="38">
        <f t="shared" ref="AX27:AX33" si="18">G27*AP27</f>
        <v>0</v>
      </c>
      <c r="AY27" s="39" t="s">
        <v>76</v>
      </c>
      <c r="AZ27" s="39" t="s">
        <v>77</v>
      </c>
      <c r="BA27" s="13" t="s">
        <v>63</v>
      </c>
      <c r="BC27" s="38">
        <f t="shared" ref="BC27:BC33" si="19">AW27+AX27</f>
        <v>0</v>
      </c>
      <c r="BD27" s="38">
        <f t="shared" ref="BD27:BD33" si="20">H27/(100-BE27)*100</f>
        <v>0</v>
      </c>
      <c r="BE27" s="38">
        <v>0</v>
      </c>
      <c r="BF27" s="38">
        <f t="shared" ref="BF27:BF33" si="21">O27</f>
        <v>1.1941231000000001</v>
      </c>
      <c r="BH27" s="38">
        <f t="shared" ref="BH27:BH33" si="22">G27*AO27</f>
        <v>0</v>
      </c>
      <c r="BI27" s="38">
        <f t="shared" ref="BI27:BI33" si="23">G27*AP27</f>
        <v>0</v>
      </c>
      <c r="BJ27" s="38">
        <f t="shared" ref="BJ27:BJ33" si="24">G27*H27</f>
        <v>0</v>
      </c>
      <c r="BK27" s="38"/>
      <c r="BL27" s="38">
        <v>96</v>
      </c>
      <c r="BW27" s="38" t="str">
        <f t="shared" ref="BW27:BW33" si="25">I27</f>
        <v>21</v>
      </c>
      <c r="BX27" s="5" t="s">
        <v>101</v>
      </c>
    </row>
    <row r="28" spans="1:76" x14ac:dyDescent="0.25">
      <c r="A28" s="2" t="s">
        <v>102</v>
      </c>
      <c r="B28" s="3" t="s">
        <v>51</v>
      </c>
      <c r="C28" s="3" t="s">
        <v>103</v>
      </c>
      <c r="D28" s="106" t="s">
        <v>104</v>
      </c>
      <c r="E28" s="107"/>
      <c r="F28" s="3" t="s">
        <v>83</v>
      </c>
      <c r="G28" s="38">
        <v>142.40020000000001</v>
      </c>
      <c r="H28" s="98"/>
      <c r="I28" s="39" t="s">
        <v>59</v>
      </c>
      <c r="J28" s="38">
        <f t="shared" si="0"/>
        <v>0</v>
      </c>
      <c r="K28" s="38">
        <f t="shared" si="1"/>
        <v>0</v>
      </c>
      <c r="L28" s="38">
        <f t="shared" si="2"/>
        <v>0</v>
      </c>
      <c r="M28" s="38">
        <f t="shared" si="3"/>
        <v>0</v>
      </c>
      <c r="N28" s="38">
        <v>6.8000000000000005E-2</v>
      </c>
      <c r="O28" s="38">
        <f t="shared" si="4"/>
        <v>9.683213600000002</v>
      </c>
      <c r="P28" s="40" t="s">
        <v>60</v>
      </c>
      <c r="Z28" s="38">
        <f t="shared" si="5"/>
        <v>0</v>
      </c>
      <c r="AB28" s="38">
        <f t="shared" si="6"/>
        <v>0</v>
      </c>
      <c r="AC28" s="38">
        <f t="shared" si="7"/>
        <v>0</v>
      </c>
      <c r="AD28" s="38">
        <f t="shared" si="8"/>
        <v>0</v>
      </c>
      <c r="AE28" s="38">
        <f t="shared" si="9"/>
        <v>0</v>
      </c>
      <c r="AF28" s="38">
        <f t="shared" si="10"/>
        <v>0</v>
      </c>
      <c r="AG28" s="38">
        <f t="shared" si="11"/>
        <v>0</v>
      </c>
      <c r="AH28" s="38">
        <f t="shared" si="12"/>
        <v>0</v>
      </c>
      <c r="AI28" s="13" t="s">
        <v>51</v>
      </c>
      <c r="AJ28" s="38">
        <f t="shared" si="13"/>
        <v>0</v>
      </c>
      <c r="AK28" s="38">
        <f t="shared" si="14"/>
        <v>0</v>
      </c>
      <c r="AL28" s="38">
        <f t="shared" si="15"/>
        <v>0</v>
      </c>
      <c r="AN28" s="38">
        <v>21</v>
      </c>
      <c r="AO28" s="38">
        <f>H28*0</f>
        <v>0</v>
      </c>
      <c r="AP28" s="38">
        <f>H28*(1-0)</f>
        <v>0</v>
      </c>
      <c r="AQ28" s="39" t="s">
        <v>55</v>
      </c>
      <c r="AV28" s="38">
        <f t="shared" si="16"/>
        <v>0</v>
      </c>
      <c r="AW28" s="38">
        <f t="shared" si="17"/>
        <v>0</v>
      </c>
      <c r="AX28" s="38">
        <f t="shared" si="18"/>
        <v>0</v>
      </c>
      <c r="AY28" s="39" t="s">
        <v>76</v>
      </c>
      <c r="AZ28" s="39" t="s">
        <v>77</v>
      </c>
      <c r="BA28" s="13" t="s">
        <v>63</v>
      </c>
      <c r="BC28" s="38">
        <f t="shared" si="19"/>
        <v>0</v>
      </c>
      <c r="BD28" s="38">
        <f t="shared" si="20"/>
        <v>0</v>
      </c>
      <c r="BE28" s="38">
        <v>0</v>
      </c>
      <c r="BF28" s="38">
        <f t="shared" si="21"/>
        <v>9.683213600000002</v>
      </c>
      <c r="BH28" s="38">
        <f t="shared" si="22"/>
        <v>0</v>
      </c>
      <c r="BI28" s="38">
        <f t="shared" si="23"/>
        <v>0</v>
      </c>
      <c r="BJ28" s="38">
        <f t="shared" si="24"/>
        <v>0</v>
      </c>
      <c r="BK28" s="38"/>
      <c r="BL28" s="38">
        <v>96</v>
      </c>
      <c r="BW28" s="38" t="str">
        <f t="shared" si="25"/>
        <v>21</v>
      </c>
      <c r="BX28" s="5" t="s">
        <v>104</v>
      </c>
    </row>
    <row r="29" spans="1:76" x14ac:dyDescent="0.25">
      <c r="A29" s="2" t="s">
        <v>105</v>
      </c>
      <c r="B29" s="3" t="s">
        <v>51</v>
      </c>
      <c r="C29" s="3" t="s">
        <v>106</v>
      </c>
      <c r="D29" s="106" t="s">
        <v>107</v>
      </c>
      <c r="E29" s="107"/>
      <c r="F29" s="3" t="s">
        <v>108</v>
      </c>
      <c r="G29" s="38">
        <v>7.6</v>
      </c>
      <c r="H29" s="98"/>
      <c r="I29" s="39" t="s">
        <v>59</v>
      </c>
      <c r="J29" s="38">
        <f t="shared" si="0"/>
        <v>0</v>
      </c>
      <c r="K29" s="38">
        <f t="shared" si="1"/>
        <v>0</v>
      </c>
      <c r="L29" s="38">
        <f t="shared" si="2"/>
        <v>0</v>
      </c>
      <c r="M29" s="38">
        <f t="shared" si="3"/>
        <v>0</v>
      </c>
      <c r="N29" s="38">
        <v>4.6000000000000001E-4</v>
      </c>
      <c r="O29" s="38">
        <f t="shared" si="4"/>
        <v>3.496E-3</v>
      </c>
      <c r="P29" s="40" t="s">
        <v>60</v>
      </c>
      <c r="Z29" s="38">
        <f t="shared" si="5"/>
        <v>0</v>
      </c>
      <c r="AB29" s="38">
        <f t="shared" si="6"/>
        <v>0</v>
      </c>
      <c r="AC29" s="38">
        <f t="shared" si="7"/>
        <v>0</v>
      </c>
      <c r="AD29" s="38">
        <f t="shared" si="8"/>
        <v>0</v>
      </c>
      <c r="AE29" s="38">
        <f t="shared" si="9"/>
        <v>0</v>
      </c>
      <c r="AF29" s="38">
        <f t="shared" si="10"/>
        <v>0</v>
      </c>
      <c r="AG29" s="38">
        <f t="shared" si="11"/>
        <v>0</v>
      </c>
      <c r="AH29" s="38">
        <f t="shared" si="12"/>
        <v>0</v>
      </c>
      <c r="AI29" s="13" t="s">
        <v>51</v>
      </c>
      <c r="AJ29" s="38">
        <f t="shared" si="13"/>
        <v>0</v>
      </c>
      <c r="AK29" s="38">
        <f t="shared" si="14"/>
        <v>0</v>
      </c>
      <c r="AL29" s="38">
        <f t="shared" si="15"/>
        <v>0</v>
      </c>
      <c r="AN29" s="38">
        <v>21</v>
      </c>
      <c r="AO29" s="38">
        <f>H29*0.117660695</f>
        <v>0</v>
      </c>
      <c r="AP29" s="38">
        <f>H29*(1-0.117660695)</f>
        <v>0</v>
      </c>
      <c r="AQ29" s="39" t="s">
        <v>55</v>
      </c>
      <c r="AV29" s="38">
        <f t="shared" si="16"/>
        <v>0</v>
      </c>
      <c r="AW29" s="38">
        <f t="shared" si="17"/>
        <v>0</v>
      </c>
      <c r="AX29" s="38">
        <f t="shared" si="18"/>
        <v>0</v>
      </c>
      <c r="AY29" s="39" t="s">
        <v>76</v>
      </c>
      <c r="AZ29" s="39" t="s">
        <v>77</v>
      </c>
      <c r="BA29" s="13" t="s">
        <v>63</v>
      </c>
      <c r="BC29" s="38">
        <f t="shared" si="19"/>
        <v>0</v>
      </c>
      <c r="BD29" s="38">
        <f t="shared" si="20"/>
        <v>0</v>
      </c>
      <c r="BE29" s="38">
        <v>0</v>
      </c>
      <c r="BF29" s="38">
        <f t="shared" si="21"/>
        <v>3.496E-3</v>
      </c>
      <c r="BH29" s="38">
        <f t="shared" si="22"/>
        <v>0</v>
      </c>
      <c r="BI29" s="38">
        <f t="shared" si="23"/>
        <v>0</v>
      </c>
      <c r="BJ29" s="38">
        <f t="shared" si="24"/>
        <v>0</v>
      </c>
      <c r="BK29" s="38"/>
      <c r="BL29" s="38">
        <v>96</v>
      </c>
      <c r="BW29" s="38" t="str">
        <f t="shared" si="25"/>
        <v>21</v>
      </c>
      <c r="BX29" s="5" t="s">
        <v>107</v>
      </c>
    </row>
    <row r="30" spans="1:76" x14ac:dyDescent="0.25">
      <c r="A30" s="2" t="s">
        <v>109</v>
      </c>
      <c r="B30" s="3" t="s">
        <v>51</v>
      </c>
      <c r="C30" s="3" t="s">
        <v>110</v>
      </c>
      <c r="D30" s="106" t="s">
        <v>111</v>
      </c>
      <c r="E30" s="107"/>
      <c r="F30" s="3" t="s">
        <v>83</v>
      </c>
      <c r="G30" s="38">
        <v>9.766</v>
      </c>
      <c r="H30" s="98"/>
      <c r="I30" s="39" t="s">
        <v>59</v>
      </c>
      <c r="J30" s="38">
        <f t="shared" si="0"/>
        <v>0</v>
      </c>
      <c r="K30" s="38">
        <f t="shared" si="1"/>
        <v>0</v>
      </c>
      <c r="L30" s="38">
        <f t="shared" si="2"/>
        <v>0</v>
      </c>
      <c r="M30" s="38">
        <f t="shared" si="3"/>
        <v>0</v>
      </c>
      <c r="N30" s="38">
        <v>0.13367000000000001</v>
      </c>
      <c r="O30" s="38">
        <f t="shared" si="4"/>
        <v>1.3054212200000002</v>
      </c>
      <c r="P30" s="40" t="s">
        <v>60</v>
      </c>
      <c r="Z30" s="38">
        <f t="shared" si="5"/>
        <v>0</v>
      </c>
      <c r="AB30" s="38">
        <f t="shared" si="6"/>
        <v>0</v>
      </c>
      <c r="AC30" s="38">
        <f t="shared" si="7"/>
        <v>0</v>
      </c>
      <c r="AD30" s="38">
        <f t="shared" si="8"/>
        <v>0</v>
      </c>
      <c r="AE30" s="38">
        <f t="shared" si="9"/>
        <v>0</v>
      </c>
      <c r="AF30" s="38">
        <f t="shared" si="10"/>
        <v>0</v>
      </c>
      <c r="AG30" s="38">
        <f t="shared" si="11"/>
        <v>0</v>
      </c>
      <c r="AH30" s="38">
        <f t="shared" si="12"/>
        <v>0</v>
      </c>
      <c r="AI30" s="13" t="s">
        <v>51</v>
      </c>
      <c r="AJ30" s="38">
        <f t="shared" si="13"/>
        <v>0</v>
      </c>
      <c r="AK30" s="38">
        <f t="shared" si="14"/>
        <v>0</v>
      </c>
      <c r="AL30" s="38">
        <f t="shared" si="15"/>
        <v>0</v>
      </c>
      <c r="AN30" s="38">
        <v>21</v>
      </c>
      <c r="AO30" s="38">
        <f>H30*0.153596714</f>
        <v>0</v>
      </c>
      <c r="AP30" s="38">
        <f>H30*(1-0.153596714)</f>
        <v>0</v>
      </c>
      <c r="AQ30" s="39" t="s">
        <v>55</v>
      </c>
      <c r="AV30" s="38">
        <f t="shared" si="16"/>
        <v>0</v>
      </c>
      <c r="AW30" s="38">
        <f t="shared" si="17"/>
        <v>0</v>
      </c>
      <c r="AX30" s="38">
        <f t="shared" si="18"/>
        <v>0</v>
      </c>
      <c r="AY30" s="39" t="s">
        <v>76</v>
      </c>
      <c r="AZ30" s="39" t="s">
        <v>77</v>
      </c>
      <c r="BA30" s="13" t="s">
        <v>63</v>
      </c>
      <c r="BC30" s="38">
        <f t="shared" si="19"/>
        <v>0</v>
      </c>
      <c r="BD30" s="38">
        <f t="shared" si="20"/>
        <v>0</v>
      </c>
      <c r="BE30" s="38">
        <v>0</v>
      </c>
      <c r="BF30" s="38">
        <f t="shared" si="21"/>
        <v>1.3054212200000002</v>
      </c>
      <c r="BH30" s="38">
        <f t="shared" si="22"/>
        <v>0</v>
      </c>
      <c r="BI30" s="38">
        <f t="shared" si="23"/>
        <v>0</v>
      </c>
      <c r="BJ30" s="38">
        <f t="shared" si="24"/>
        <v>0</v>
      </c>
      <c r="BK30" s="38"/>
      <c r="BL30" s="38">
        <v>96</v>
      </c>
      <c r="BW30" s="38" t="str">
        <f t="shared" si="25"/>
        <v>21</v>
      </c>
      <c r="BX30" s="5" t="s">
        <v>111</v>
      </c>
    </row>
    <row r="31" spans="1:76" x14ac:dyDescent="0.25">
      <c r="A31" s="2" t="s">
        <v>112</v>
      </c>
      <c r="B31" s="3" t="s">
        <v>51</v>
      </c>
      <c r="C31" s="3" t="s">
        <v>113</v>
      </c>
      <c r="D31" s="106" t="s">
        <v>114</v>
      </c>
      <c r="E31" s="107"/>
      <c r="F31" s="3" t="s">
        <v>108</v>
      </c>
      <c r="G31" s="38">
        <v>0.25</v>
      </c>
      <c r="H31" s="98"/>
      <c r="I31" s="39" t="s">
        <v>59</v>
      </c>
      <c r="J31" s="38">
        <f t="shared" si="0"/>
        <v>0</v>
      </c>
      <c r="K31" s="38">
        <f t="shared" si="1"/>
        <v>0</v>
      </c>
      <c r="L31" s="38">
        <f t="shared" si="2"/>
        <v>0</v>
      </c>
      <c r="M31" s="38">
        <f t="shared" si="3"/>
        <v>0</v>
      </c>
      <c r="N31" s="38">
        <v>3.5090000000000003E-2</v>
      </c>
      <c r="O31" s="38">
        <f t="shared" si="4"/>
        <v>8.7725000000000008E-3</v>
      </c>
      <c r="P31" s="40" t="s">
        <v>60</v>
      </c>
      <c r="Z31" s="38">
        <f t="shared" si="5"/>
        <v>0</v>
      </c>
      <c r="AB31" s="38">
        <f t="shared" si="6"/>
        <v>0</v>
      </c>
      <c r="AC31" s="38">
        <f t="shared" si="7"/>
        <v>0</v>
      </c>
      <c r="AD31" s="38">
        <f t="shared" si="8"/>
        <v>0</v>
      </c>
      <c r="AE31" s="38">
        <f t="shared" si="9"/>
        <v>0</v>
      </c>
      <c r="AF31" s="38">
        <f t="shared" si="10"/>
        <v>0</v>
      </c>
      <c r="AG31" s="38">
        <f t="shared" si="11"/>
        <v>0</v>
      </c>
      <c r="AH31" s="38">
        <f t="shared" si="12"/>
        <v>0</v>
      </c>
      <c r="AI31" s="13" t="s">
        <v>51</v>
      </c>
      <c r="AJ31" s="38">
        <f t="shared" si="13"/>
        <v>0</v>
      </c>
      <c r="AK31" s="38">
        <f t="shared" si="14"/>
        <v>0</v>
      </c>
      <c r="AL31" s="38">
        <f t="shared" si="15"/>
        <v>0</v>
      </c>
      <c r="AN31" s="38">
        <v>21</v>
      </c>
      <c r="AO31" s="38">
        <f>H31*0.310686684</f>
        <v>0</v>
      </c>
      <c r="AP31" s="38">
        <f>H31*(1-0.310686684)</f>
        <v>0</v>
      </c>
      <c r="AQ31" s="39" t="s">
        <v>55</v>
      </c>
      <c r="AV31" s="38">
        <f t="shared" si="16"/>
        <v>0</v>
      </c>
      <c r="AW31" s="38">
        <f t="shared" si="17"/>
        <v>0</v>
      </c>
      <c r="AX31" s="38">
        <f t="shared" si="18"/>
        <v>0</v>
      </c>
      <c r="AY31" s="39" t="s">
        <v>76</v>
      </c>
      <c r="AZ31" s="39" t="s">
        <v>77</v>
      </c>
      <c r="BA31" s="13" t="s">
        <v>63</v>
      </c>
      <c r="BC31" s="38">
        <f t="shared" si="19"/>
        <v>0</v>
      </c>
      <c r="BD31" s="38">
        <f t="shared" si="20"/>
        <v>0</v>
      </c>
      <c r="BE31" s="38">
        <v>0</v>
      </c>
      <c r="BF31" s="38">
        <f t="shared" si="21"/>
        <v>8.7725000000000008E-3</v>
      </c>
      <c r="BH31" s="38">
        <f t="shared" si="22"/>
        <v>0</v>
      </c>
      <c r="BI31" s="38">
        <f t="shared" si="23"/>
        <v>0</v>
      </c>
      <c r="BJ31" s="38">
        <f t="shared" si="24"/>
        <v>0</v>
      </c>
      <c r="BK31" s="38"/>
      <c r="BL31" s="38">
        <v>96</v>
      </c>
      <c r="BW31" s="38" t="str">
        <f t="shared" si="25"/>
        <v>21</v>
      </c>
      <c r="BX31" s="5" t="s">
        <v>114</v>
      </c>
    </row>
    <row r="32" spans="1:76" x14ac:dyDescent="0.25">
      <c r="A32" s="2" t="s">
        <v>115</v>
      </c>
      <c r="B32" s="3" t="s">
        <v>51</v>
      </c>
      <c r="C32" s="3" t="s">
        <v>116</v>
      </c>
      <c r="D32" s="106" t="s">
        <v>117</v>
      </c>
      <c r="E32" s="107"/>
      <c r="F32" s="3" t="s">
        <v>108</v>
      </c>
      <c r="G32" s="38">
        <v>33.799999999999997</v>
      </c>
      <c r="H32" s="98"/>
      <c r="I32" s="39" t="s">
        <v>59</v>
      </c>
      <c r="J32" s="38">
        <f t="shared" si="0"/>
        <v>0</v>
      </c>
      <c r="K32" s="38">
        <f t="shared" si="1"/>
        <v>0</v>
      </c>
      <c r="L32" s="38">
        <f t="shared" si="2"/>
        <v>0</v>
      </c>
      <c r="M32" s="38">
        <f t="shared" si="3"/>
        <v>0</v>
      </c>
      <c r="N32" s="38">
        <v>1.949E-2</v>
      </c>
      <c r="O32" s="38">
        <f t="shared" si="4"/>
        <v>0.65876199999999996</v>
      </c>
      <c r="P32" s="40" t="s">
        <v>60</v>
      </c>
      <c r="Z32" s="38">
        <f t="shared" si="5"/>
        <v>0</v>
      </c>
      <c r="AB32" s="38">
        <f t="shared" si="6"/>
        <v>0</v>
      </c>
      <c r="AC32" s="38">
        <f t="shared" si="7"/>
        <v>0</v>
      </c>
      <c r="AD32" s="38">
        <f t="shared" si="8"/>
        <v>0</v>
      </c>
      <c r="AE32" s="38">
        <f t="shared" si="9"/>
        <v>0</v>
      </c>
      <c r="AF32" s="38">
        <f t="shared" si="10"/>
        <v>0</v>
      </c>
      <c r="AG32" s="38">
        <f t="shared" si="11"/>
        <v>0</v>
      </c>
      <c r="AH32" s="38">
        <f t="shared" si="12"/>
        <v>0</v>
      </c>
      <c r="AI32" s="13" t="s">
        <v>51</v>
      </c>
      <c r="AJ32" s="38">
        <f t="shared" si="13"/>
        <v>0</v>
      </c>
      <c r="AK32" s="38">
        <f t="shared" si="14"/>
        <v>0</v>
      </c>
      <c r="AL32" s="38">
        <f t="shared" si="15"/>
        <v>0</v>
      </c>
      <c r="AN32" s="38">
        <v>21</v>
      </c>
      <c r="AO32" s="38">
        <f>H32*0.073972908</f>
        <v>0</v>
      </c>
      <c r="AP32" s="38">
        <f>H32*(1-0.073972908)</f>
        <v>0</v>
      </c>
      <c r="AQ32" s="39" t="s">
        <v>55</v>
      </c>
      <c r="AV32" s="38">
        <f t="shared" si="16"/>
        <v>0</v>
      </c>
      <c r="AW32" s="38">
        <f t="shared" si="17"/>
        <v>0</v>
      </c>
      <c r="AX32" s="38">
        <f t="shared" si="18"/>
        <v>0</v>
      </c>
      <c r="AY32" s="39" t="s">
        <v>76</v>
      </c>
      <c r="AZ32" s="39" t="s">
        <v>77</v>
      </c>
      <c r="BA32" s="13" t="s">
        <v>63</v>
      </c>
      <c r="BC32" s="38">
        <f t="shared" si="19"/>
        <v>0</v>
      </c>
      <c r="BD32" s="38">
        <f t="shared" si="20"/>
        <v>0</v>
      </c>
      <c r="BE32" s="38">
        <v>0</v>
      </c>
      <c r="BF32" s="38">
        <f t="shared" si="21"/>
        <v>0.65876199999999996</v>
      </c>
      <c r="BH32" s="38">
        <f t="shared" si="22"/>
        <v>0</v>
      </c>
      <c r="BI32" s="38">
        <f t="shared" si="23"/>
        <v>0</v>
      </c>
      <c r="BJ32" s="38">
        <f t="shared" si="24"/>
        <v>0</v>
      </c>
      <c r="BK32" s="38"/>
      <c r="BL32" s="38">
        <v>96</v>
      </c>
      <c r="BW32" s="38" t="str">
        <f t="shared" si="25"/>
        <v>21</v>
      </c>
      <c r="BX32" s="5" t="s">
        <v>117</v>
      </c>
    </row>
    <row r="33" spans="1:76" x14ac:dyDescent="0.25">
      <c r="A33" s="2" t="s">
        <v>118</v>
      </c>
      <c r="B33" s="3" t="s">
        <v>51</v>
      </c>
      <c r="C33" s="3" t="s">
        <v>119</v>
      </c>
      <c r="D33" s="106" t="s">
        <v>120</v>
      </c>
      <c r="E33" s="107"/>
      <c r="F33" s="3" t="s">
        <v>83</v>
      </c>
      <c r="G33" s="38">
        <v>6.2549999999999999</v>
      </c>
      <c r="H33" s="98"/>
      <c r="I33" s="39" t="s">
        <v>59</v>
      </c>
      <c r="J33" s="38">
        <f t="shared" si="0"/>
        <v>0</v>
      </c>
      <c r="K33" s="38">
        <f t="shared" si="1"/>
        <v>0</v>
      </c>
      <c r="L33" s="38">
        <f t="shared" si="2"/>
        <v>0</v>
      </c>
      <c r="M33" s="38">
        <f t="shared" si="3"/>
        <v>0</v>
      </c>
      <c r="N33" s="38">
        <v>0.27054</v>
      </c>
      <c r="O33" s="38">
        <f t="shared" si="4"/>
        <v>1.6922276999999999</v>
      </c>
      <c r="P33" s="40" t="s">
        <v>60</v>
      </c>
      <c r="Z33" s="38">
        <f t="shared" si="5"/>
        <v>0</v>
      </c>
      <c r="AB33" s="38">
        <f t="shared" si="6"/>
        <v>0</v>
      </c>
      <c r="AC33" s="38">
        <f t="shared" si="7"/>
        <v>0</v>
      </c>
      <c r="AD33" s="38">
        <f t="shared" si="8"/>
        <v>0</v>
      </c>
      <c r="AE33" s="38">
        <f t="shared" si="9"/>
        <v>0</v>
      </c>
      <c r="AF33" s="38">
        <f t="shared" si="10"/>
        <v>0</v>
      </c>
      <c r="AG33" s="38">
        <f t="shared" si="11"/>
        <v>0</v>
      </c>
      <c r="AH33" s="38">
        <f t="shared" si="12"/>
        <v>0</v>
      </c>
      <c r="AI33" s="13" t="s">
        <v>51</v>
      </c>
      <c r="AJ33" s="38">
        <f t="shared" si="13"/>
        <v>0</v>
      </c>
      <c r="AK33" s="38">
        <f t="shared" si="14"/>
        <v>0</v>
      </c>
      <c r="AL33" s="38">
        <f t="shared" si="15"/>
        <v>0</v>
      </c>
      <c r="AN33" s="38">
        <v>21</v>
      </c>
      <c r="AO33" s="38">
        <f>H33*0.067291996</f>
        <v>0</v>
      </c>
      <c r="AP33" s="38">
        <f>H33*(1-0.067291996)</f>
        <v>0</v>
      </c>
      <c r="AQ33" s="39" t="s">
        <v>55</v>
      </c>
      <c r="AV33" s="38">
        <f t="shared" si="16"/>
        <v>0</v>
      </c>
      <c r="AW33" s="38">
        <f t="shared" si="17"/>
        <v>0</v>
      </c>
      <c r="AX33" s="38">
        <f t="shared" si="18"/>
        <v>0</v>
      </c>
      <c r="AY33" s="39" t="s">
        <v>76</v>
      </c>
      <c r="AZ33" s="39" t="s">
        <v>77</v>
      </c>
      <c r="BA33" s="13" t="s">
        <v>63</v>
      </c>
      <c r="BC33" s="38">
        <f t="shared" si="19"/>
        <v>0</v>
      </c>
      <c r="BD33" s="38">
        <f t="shared" si="20"/>
        <v>0</v>
      </c>
      <c r="BE33" s="38">
        <v>0</v>
      </c>
      <c r="BF33" s="38">
        <f t="shared" si="21"/>
        <v>1.6922276999999999</v>
      </c>
      <c r="BH33" s="38">
        <f t="shared" si="22"/>
        <v>0</v>
      </c>
      <c r="BI33" s="38">
        <f t="shared" si="23"/>
        <v>0</v>
      </c>
      <c r="BJ33" s="38">
        <f t="shared" si="24"/>
        <v>0</v>
      </c>
      <c r="BK33" s="38"/>
      <c r="BL33" s="38">
        <v>96</v>
      </c>
      <c r="BW33" s="38" t="str">
        <f t="shared" si="25"/>
        <v>21</v>
      </c>
      <c r="BX33" s="5" t="s">
        <v>120</v>
      </c>
    </row>
    <row r="34" spans="1:76" ht="25.5" x14ac:dyDescent="0.25">
      <c r="A34" s="41"/>
      <c r="C34" s="42" t="s">
        <v>78</v>
      </c>
      <c r="D34" s="178" t="s">
        <v>121</v>
      </c>
      <c r="E34" s="179"/>
      <c r="F34" s="179"/>
      <c r="G34" s="179"/>
      <c r="H34" s="179"/>
      <c r="I34" s="179"/>
      <c r="J34" s="179"/>
      <c r="K34" s="179"/>
      <c r="L34" s="179"/>
      <c r="M34" s="179"/>
      <c r="N34" s="179"/>
      <c r="O34" s="179"/>
      <c r="P34" s="180"/>
      <c r="BX34" s="43" t="s">
        <v>121</v>
      </c>
    </row>
    <row r="35" spans="1:76" x14ac:dyDescent="0.25">
      <c r="A35" s="2" t="s">
        <v>122</v>
      </c>
      <c r="B35" s="3" t="s">
        <v>51</v>
      </c>
      <c r="C35" s="3" t="s">
        <v>123</v>
      </c>
      <c r="D35" s="106" t="s">
        <v>124</v>
      </c>
      <c r="E35" s="107"/>
      <c r="F35" s="3" t="s">
        <v>125</v>
      </c>
      <c r="G35" s="38">
        <v>0.08</v>
      </c>
      <c r="H35" s="98"/>
      <c r="I35" s="39" t="s">
        <v>59</v>
      </c>
      <c r="J35" s="38">
        <f>G35*AO35</f>
        <v>0</v>
      </c>
      <c r="K35" s="38">
        <f>G35*AP35</f>
        <v>0</v>
      </c>
      <c r="L35" s="38">
        <f>G35*H35</f>
        <v>0</v>
      </c>
      <c r="M35" s="38">
        <f>L35*(1+BW35/100)</f>
        <v>0</v>
      </c>
      <c r="N35" s="38">
        <v>1.80139</v>
      </c>
      <c r="O35" s="38">
        <f>G35*N35</f>
        <v>0.14411119999999999</v>
      </c>
      <c r="P35" s="40" t="s">
        <v>60</v>
      </c>
      <c r="Z35" s="38">
        <f>IF(AQ35="5",BJ35,0)</f>
        <v>0</v>
      </c>
      <c r="AB35" s="38">
        <f>IF(AQ35="1",BH35,0)</f>
        <v>0</v>
      </c>
      <c r="AC35" s="38">
        <f>IF(AQ35="1",BI35,0)</f>
        <v>0</v>
      </c>
      <c r="AD35" s="38">
        <f>IF(AQ35="7",BH35,0)</f>
        <v>0</v>
      </c>
      <c r="AE35" s="38">
        <f>IF(AQ35="7",BI35,0)</f>
        <v>0</v>
      </c>
      <c r="AF35" s="38">
        <f>IF(AQ35="2",BH35,0)</f>
        <v>0</v>
      </c>
      <c r="AG35" s="38">
        <f>IF(AQ35="2",BI35,0)</f>
        <v>0</v>
      </c>
      <c r="AH35" s="38">
        <f>IF(AQ35="0",BJ35,0)</f>
        <v>0</v>
      </c>
      <c r="AI35" s="13" t="s">
        <v>51</v>
      </c>
      <c r="AJ35" s="38">
        <f>IF(AN35=0,L35,0)</f>
        <v>0</v>
      </c>
      <c r="AK35" s="38">
        <f>IF(AN35=12,L35,0)</f>
        <v>0</v>
      </c>
      <c r="AL35" s="38">
        <f>IF(AN35=21,L35,0)</f>
        <v>0</v>
      </c>
      <c r="AN35" s="38">
        <v>21</v>
      </c>
      <c r="AO35" s="38">
        <f>H35*0.007105448</f>
        <v>0</v>
      </c>
      <c r="AP35" s="38">
        <f>H35*(1-0.007105448)</f>
        <v>0</v>
      </c>
      <c r="AQ35" s="39" t="s">
        <v>55</v>
      </c>
      <c r="AV35" s="38">
        <f>AW35+AX35</f>
        <v>0</v>
      </c>
      <c r="AW35" s="38">
        <f>G35*AO35</f>
        <v>0</v>
      </c>
      <c r="AX35" s="38">
        <f>G35*AP35</f>
        <v>0</v>
      </c>
      <c r="AY35" s="39" t="s">
        <v>76</v>
      </c>
      <c r="AZ35" s="39" t="s">
        <v>77</v>
      </c>
      <c r="BA35" s="13" t="s">
        <v>63</v>
      </c>
      <c r="BC35" s="38">
        <f>AW35+AX35</f>
        <v>0</v>
      </c>
      <c r="BD35" s="38">
        <f>H35/(100-BE35)*100</f>
        <v>0</v>
      </c>
      <c r="BE35" s="38">
        <v>0</v>
      </c>
      <c r="BF35" s="38">
        <f>O35</f>
        <v>0.14411119999999999</v>
      </c>
      <c r="BH35" s="38">
        <f>G35*AO35</f>
        <v>0</v>
      </c>
      <c r="BI35" s="38">
        <f>G35*AP35</f>
        <v>0</v>
      </c>
      <c r="BJ35" s="38">
        <f>G35*H35</f>
        <v>0</v>
      </c>
      <c r="BK35" s="38"/>
      <c r="BL35" s="38">
        <v>96</v>
      </c>
      <c r="BW35" s="38" t="str">
        <f>I35</f>
        <v>21</v>
      </c>
      <c r="BX35" s="5" t="s">
        <v>124</v>
      </c>
    </row>
    <row r="36" spans="1:76" ht="25.5" x14ac:dyDescent="0.25">
      <c r="A36" s="41"/>
      <c r="C36" s="42" t="s">
        <v>78</v>
      </c>
      <c r="D36" s="178" t="s">
        <v>121</v>
      </c>
      <c r="E36" s="179"/>
      <c r="F36" s="179"/>
      <c r="G36" s="179"/>
      <c r="H36" s="179"/>
      <c r="I36" s="179"/>
      <c r="J36" s="179"/>
      <c r="K36" s="179"/>
      <c r="L36" s="179"/>
      <c r="M36" s="179"/>
      <c r="N36" s="179"/>
      <c r="O36" s="179"/>
      <c r="P36" s="180"/>
      <c r="BX36" s="43" t="s">
        <v>121</v>
      </c>
    </row>
    <row r="37" spans="1:76" x14ac:dyDescent="0.25">
      <c r="A37" s="2" t="s">
        <v>126</v>
      </c>
      <c r="B37" s="3" t="s">
        <v>51</v>
      </c>
      <c r="C37" s="3" t="s">
        <v>127</v>
      </c>
      <c r="D37" s="106" t="s">
        <v>128</v>
      </c>
      <c r="E37" s="107"/>
      <c r="F37" s="3" t="s">
        <v>58</v>
      </c>
      <c r="G37" s="38">
        <v>4</v>
      </c>
      <c r="H37" s="98"/>
      <c r="I37" s="39" t="s">
        <v>59</v>
      </c>
      <c r="J37" s="38">
        <f>G37*AO37</f>
        <v>0</v>
      </c>
      <c r="K37" s="38">
        <f>G37*AP37</f>
        <v>0</v>
      </c>
      <c r="L37" s="38">
        <f>G37*H37</f>
        <v>0</v>
      </c>
      <c r="M37" s="38">
        <f>L37*(1+BW37/100)</f>
        <v>0</v>
      </c>
      <c r="N37" s="38">
        <v>4.8999999999999998E-3</v>
      </c>
      <c r="O37" s="38">
        <f>G37*N37</f>
        <v>1.9599999999999999E-2</v>
      </c>
      <c r="P37" s="40" t="s">
        <v>67</v>
      </c>
      <c r="Z37" s="38">
        <f>IF(AQ37="5",BJ37,0)</f>
        <v>0</v>
      </c>
      <c r="AB37" s="38">
        <f>IF(AQ37="1",BH37,0)</f>
        <v>0</v>
      </c>
      <c r="AC37" s="38">
        <f>IF(AQ37="1",BI37,0)</f>
        <v>0</v>
      </c>
      <c r="AD37" s="38">
        <f>IF(AQ37="7",BH37,0)</f>
        <v>0</v>
      </c>
      <c r="AE37" s="38">
        <f>IF(AQ37="7",BI37,0)</f>
        <v>0</v>
      </c>
      <c r="AF37" s="38">
        <f>IF(AQ37="2",BH37,0)</f>
        <v>0</v>
      </c>
      <c r="AG37" s="38">
        <f>IF(AQ37="2",BI37,0)</f>
        <v>0</v>
      </c>
      <c r="AH37" s="38">
        <f>IF(AQ37="0",BJ37,0)</f>
        <v>0</v>
      </c>
      <c r="AI37" s="13" t="s">
        <v>51</v>
      </c>
      <c r="AJ37" s="38">
        <f>IF(AN37=0,L37,0)</f>
        <v>0</v>
      </c>
      <c r="AK37" s="38">
        <f>IF(AN37=12,L37,0)</f>
        <v>0</v>
      </c>
      <c r="AL37" s="38">
        <f>IF(AN37=21,L37,0)</f>
        <v>0</v>
      </c>
      <c r="AN37" s="38">
        <v>21</v>
      </c>
      <c r="AO37" s="38">
        <f>H37*0</f>
        <v>0</v>
      </c>
      <c r="AP37" s="38">
        <f>H37*(1-0)</f>
        <v>0</v>
      </c>
      <c r="AQ37" s="39" t="s">
        <v>55</v>
      </c>
      <c r="AV37" s="38">
        <f>AW37+AX37</f>
        <v>0</v>
      </c>
      <c r="AW37" s="38">
        <f>G37*AO37</f>
        <v>0</v>
      </c>
      <c r="AX37" s="38">
        <f>G37*AP37</f>
        <v>0</v>
      </c>
      <c r="AY37" s="39" t="s">
        <v>76</v>
      </c>
      <c r="AZ37" s="39" t="s">
        <v>77</v>
      </c>
      <c r="BA37" s="13" t="s">
        <v>63</v>
      </c>
      <c r="BC37" s="38">
        <f>AW37+AX37</f>
        <v>0</v>
      </c>
      <c r="BD37" s="38">
        <f>H37/(100-BE37)*100</f>
        <v>0</v>
      </c>
      <c r="BE37" s="38">
        <v>0</v>
      </c>
      <c r="BF37" s="38">
        <f>O37</f>
        <v>1.9599999999999999E-2</v>
      </c>
      <c r="BH37" s="38">
        <f>G37*AO37</f>
        <v>0</v>
      </c>
      <c r="BI37" s="38">
        <f>G37*AP37</f>
        <v>0</v>
      </c>
      <c r="BJ37" s="38">
        <f>G37*H37</f>
        <v>0</v>
      </c>
      <c r="BK37" s="38"/>
      <c r="BL37" s="38">
        <v>96</v>
      </c>
      <c r="BW37" s="38" t="str">
        <f>I37</f>
        <v>21</v>
      </c>
      <c r="BX37" s="5" t="s">
        <v>128</v>
      </c>
    </row>
    <row r="38" spans="1:76" x14ac:dyDescent="0.25">
      <c r="A38" s="2" t="s">
        <v>129</v>
      </c>
      <c r="B38" s="3" t="s">
        <v>51</v>
      </c>
      <c r="C38" s="3" t="s">
        <v>130</v>
      </c>
      <c r="D38" s="106" t="s">
        <v>131</v>
      </c>
      <c r="E38" s="107"/>
      <c r="F38" s="3" t="s">
        <v>83</v>
      </c>
      <c r="G38" s="38">
        <v>44.58</v>
      </c>
      <c r="H38" s="98"/>
      <c r="I38" s="39" t="s">
        <v>59</v>
      </c>
      <c r="J38" s="38">
        <f>G38*AO38</f>
        <v>0</v>
      </c>
      <c r="K38" s="38">
        <f>G38*AP38</f>
        <v>0</v>
      </c>
      <c r="L38" s="38">
        <f>G38*H38</f>
        <v>0</v>
      </c>
      <c r="M38" s="38">
        <f>L38*(1+BW38/100)</f>
        <v>0</v>
      </c>
      <c r="N38" s="38">
        <v>2E-3</v>
      </c>
      <c r="O38" s="38">
        <f>G38*N38</f>
        <v>8.9160000000000003E-2</v>
      </c>
      <c r="P38" s="40" t="s">
        <v>60</v>
      </c>
      <c r="Z38" s="38">
        <f>IF(AQ38="5",BJ38,0)</f>
        <v>0</v>
      </c>
      <c r="AB38" s="38">
        <f>IF(AQ38="1",BH38,0)</f>
        <v>0</v>
      </c>
      <c r="AC38" s="38">
        <f>IF(AQ38="1",BI38,0)</f>
        <v>0</v>
      </c>
      <c r="AD38" s="38">
        <f>IF(AQ38="7",BH38,0)</f>
        <v>0</v>
      </c>
      <c r="AE38" s="38">
        <f>IF(AQ38="7",BI38,0)</f>
        <v>0</v>
      </c>
      <c r="AF38" s="38">
        <f>IF(AQ38="2",BH38,0)</f>
        <v>0</v>
      </c>
      <c r="AG38" s="38">
        <f>IF(AQ38="2",BI38,0)</f>
        <v>0</v>
      </c>
      <c r="AH38" s="38">
        <f>IF(AQ38="0",BJ38,0)</f>
        <v>0</v>
      </c>
      <c r="AI38" s="13" t="s">
        <v>51</v>
      </c>
      <c r="AJ38" s="38">
        <f>IF(AN38=0,L38,0)</f>
        <v>0</v>
      </c>
      <c r="AK38" s="38">
        <f>IF(AN38=12,L38,0)</f>
        <v>0</v>
      </c>
      <c r="AL38" s="38">
        <f>IF(AN38=21,L38,0)</f>
        <v>0</v>
      </c>
      <c r="AN38" s="38">
        <v>21</v>
      </c>
      <c r="AO38" s="38">
        <f>H38*0</f>
        <v>0</v>
      </c>
      <c r="AP38" s="38">
        <f>H38*(1-0)</f>
        <v>0</v>
      </c>
      <c r="AQ38" s="39" t="s">
        <v>55</v>
      </c>
      <c r="AV38" s="38">
        <f>AW38+AX38</f>
        <v>0</v>
      </c>
      <c r="AW38" s="38">
        <f>G38*AO38</f>
        <v>0</v>
      </c>
      <c r="AX38" s="38">
        <f>G38*AP38</f>
        <v>0</v>
      </c>
      <c r="AY38" s="39" t="s">
        <v>76</v>
      </c>
      <c r="AZ38" s="39" t="s">
        <v>77</v>
      </c>
      <c r="BA38" s="13" t="s">
        <v>63</v>
      </c>
      <c r="BC38" s="38">
        <f>AW38+AX38</f>
        <v>0</v>
      </c>
      <c r="BD38" s="38">
        <f>H38/(100-BE38)*100</f>
        <v>0</v>
      </c>
      <c r="BE38" s="38">
        <v>0</v>
      </c>
      <c r="BF38" s="38">
        <f>O38</f>
        <v>8.9160000000000003E-2</v>
      </c>
      <c r="BH38" s="38">
        <f>G38*AO38</f>
        <v>0</v>
      </c>
      <c r="BI38" s="38">
        <f>G38*AP38</f>
        <v>0</v>
      </c>
      <c r="BJ38" s="38">
        <f>G38*H38</f>
        <v>0</v>
      </c>
      <c r="BK38" s="38"/>
      <c r="BL38" s="38">
        <v>96</v>
      </c>
      <c r="BW38" s="38" t="str">
        <f>I38</f>
        <v>21</v>
      </c>
      <c r="BX38" s="5" t="s">
        <v>131</v>
      </c>
    </row>
    <row r="39" spans="1:76" x14ac:dyDescent="0.25">
      <c r="A39" s="2" t="s">
        <v>132</v>
      </c>
      <c r="B39" s="3" t="s">
        <v>51</v>
      </c>
      <c r="C39" s="3" t="s">
        <v>133</v>
      </c>
      <c r="D39" s="106" t="s">
        <v>134</v>
      </c>
      <c r="E39" s="107"/>
      <c r="F39" s="3" t="s">
        <v>83</v>
      </c>
      <c r="G39" s="38">
        <v>44.58</v>
      </c>
      <c r="H39" s="98"/>
      <c r="I39" s="39" t="s">
        <v>59</v>
      </c>
      <c r="J39" s="38">
        <f>G39*AO39</f>
        <v>0</v>
      </c>
      <c r="K39" s="38">
        <f>G39*AP39</f>
        <v>0</v>
      </c>
      <c r="L39" s="38">
        <f>G39*H39</f>
        <v>0</v>
      </c>
      <c r="M39" s="38">
        <f>L39*(1+BW39/100)</f>
        <v>0</v>
      </c>
      <c r="N39" s="38">
        <v>1.2E-2</v>
      </c>
      <c r="O39" s="38">
        <f>G39*N39</f>
        <v>0.53495999999999999</v>
      </c>
      <c r="P39" s="40" t="s">
        <v>60</v>
      </c>
      <c r="Z39" s="38">
        <f>IF(AQ39="5",BJ39,0)</f>
        <v>0</v>
      </c>
      <c r="AB39" s="38">
        <f>IF(AQ39="1",BH39,0)</f>
        <v>0</v>
      </c>
      <c r="AC39" s="38">
        <f>IF(AQ39="1",BI39,0)</f>
        <v>0</v>
      </c>
      <c r="AD39" s="38">
        <f>IF(AQ39="7",BH39,0)</f>
        <v>0</v>
      </c>
      <c r="AE39" s="38">
        <f>IF(AQ39="7",BI39,0)</f>
        <v>0</v>
      </c>
      <c r="AF39" s="38">
        <f>IF(AQ39="2",BH39,0)</f>
        <v>0</v>
      </c>
      <c r="AG39" s="38">
        <f>IF(AQ39="2",BI39,0)</f>
        <v>0</v>
      </c>
      <c r="AH39" s="38">
        <f>IF(AQ39="0",BJ39,0)</f>
        <v>0</v>
      </c>
      <c r="AI39" s="13" t="s">
        <v>51</v>
      </c>
      <c r="AJ39" s="38">
        <f>IF(AN39=0,L39,0)</f>
        <v>0</v>
      </c>
      <c r="AK39" s="38">
        <f>IF(AN39=12,L39,0)</f>
        <v>0</v>
      </c>
      <c r="AL39" s="38">
        <f>IF(AN39=21,L39,0)</f>
        <v>0</v>
      </c>
      <c r="AN39" s="38">
        <v>21</v>
      </c>
      <c r="AO39" s="38">
        <f>H39*0</f>
        <v>0</v>
      </c>
      <c r="AP39" s="38">
        <f>H39*(1-0)</f>
        <v>0</v>
      </c>
      <c r="AQ39" s="39" t="s">
        <v>55</v>
      </c>
      <c r="AV39" s="38">
        <f>AW39+AX39</f>
        <v>0</v>
      </c>
      <c r="AW39" s="38">
        <f>G39*AO39</f>
        <v>0</v>
      </c>
      <c r="AX39" s="38">
        <f>G39*AP39</f>
        <v>0</v>
      </c>
      <c r="AY39" s="39" t="s">
        <v>76</v>
      </c>
      <c r="AZ39" s="39" t="s">
        <v>77</v>
      </c>
      <c r="BA39" s="13" t="s">
        <v>63</v>
      </c>
      <c r="BC39" s="38">
        <f>AW39+AX39</f>
        <v>0</v>
      </c>
      <c r="BD39" s="38">
        <f>H39/(100-BE39)*100</f>
        <v>0</v>
      </c>
      <c r="BE39" s="38">
        <v>0</v>
      </c>
      <c r="BF39" s="38">
        <f>O39</f>
        <v>0.53495999999999999</v>
      </c>
      <c r="BH39" s="38">
        <f>G39*AO39</f>
        <v>0</v>
      </c>
      <c r="BI39" s="38">
        <f>G39*AP39</f>
        <v>0</v>
      </c>
      <c r="BJ39" s="38">
        <f>G39*H39</f>
        <v>0</v>
      </c>
      <c r="BK39" s="38"/>
      <c r="BL39" s="38">
        <v>96</v>
      </c>
      <c r="BW39" s="38" t="str">
        <f>I39</f>
        <v>21</v>
      </c>
      <c r="BX39" s="5" t="s">
        <v>134</v>
      </c>
    </row>
    <row r="40" spans="1:76" x14ac:dyDescent="0.25">
      <c r="A40" s="2" t="s">
        <v>59</v>
      </c>
      <c r="B40" s="3" t="s">
        <v>51</v>
      </c>
      <c r="C40" s="3" t="s">
        <v>135</v>
      </c>
      <c r="D40" s="106" t="s">
        <v>136</v>
      </c>
      <c r="E40" s="107"/>
      <c r="F40" s="3" t="s">
        <v>58</v>
      </c>
      <c r="G40" s="38">
        <v>8</v>
      </c>
      <c r="H40" s="98"/>
      <c r="I40" s="39" t="s">
        <v>59</v>
      </c>
      <c r="J40" s="38">
        <f>G40*AO40</f>
        <v>0</v>
      </c>
      <c r="K40" s="38">
        <f>G40*AP40</f>
        <v>0</v>
      </c>
      <c r="L40" s="38">
        <f>G40*H40</f>
        <v>0</v>
      </c>
      <c r="M40" s="38">
        <f>L40*(1+BW40/100)</f>
        <v>0</v>
      </c>
      <c r="N40" s="38">
        <v>3.1870000000000002E-2</v>
      </c>
      <c r="O40" s="38">
        <f>G40*N40</f>
        <v>0.25496000000000002</v>
      </c>
      <c r="P40" s="40" t="s">
        <v>60</v>
      </c>
      <c r="Z40" s="38">
        <f>IF(AQ40="5",BJ40,0)</f>
        <v>0</v>
      </c>
      <c r="AB40" s="38">
        <f>IF(AQ40="1",BH40,0)</f>
        <v>0</v>
      </c>
      <c r="AC40" s="38">
        <f>IF(AQ40="1",BI40,0)</f>
        <v>0</v>
      </c>
      <c r="AD40" s="38">
        <f>IF(AQ40="7",BH40,0)</f>
        <v>0</v>
      </c>
      <c r="AE40" s="38">
        <f>IF(AQ40="7",BI40,0)</f>
        <v>0</v>
      </c>
      <c r="AF40" s="38">
        <f>IF(AQ40="2",BH40,0)</f>
        <v>0</v>
      </c>
      <c r="AG40" s="38">
        <f>IF(AQ40="2",BI40,0)</f>
        <v>0</v>
      </c>
      <c r="AH40" s="38">
        <f>IF(AQ40="0",BJ40,0)</f>
        <v>0</v>
      </c>
      <c r="AI40" s="13" t="s">
        <v>51</v>
      </c>
      <c r="AJ40" s="38">
        <f>IF(AN40=0,L40,0)</f>
        <v>0</v>
      </c>
      <c r="AK40" s="38">
        <f>IF(AN40=12,L40,0)</f>
        <v>0</v>
      </c>
      <c r="AL40" s="38">
        <f>IF(AN40=21,L40,0)</f>
        <v>0</v>
      </c>
      <c r="AN40" s="38">
        <v>21</v>
      </c>
      <c r="AO40" s="38">
        <f>H40*0</f>
        <v>0</v>
      </c>
      <c r="AP40" s="38">
        <f>H40*(1-0)</f>
        <v>0</v>
      </c>
      <c r="AQ40" s="39" t="s">
        <v>55</v>
      </c>
      <c r="AV40" s="38">
        <f>AW40+AX40</f>
        <v>0</v>
      </c>
      <c r="AW40" s="38">
        <f>G40*AO40</f>
        <v>0</v>
      </c>
      <c r="AX40" s="38">
        <f>G40*AP40</f>
        <v>0</v>
      </c>
      <c r="AY40" s="39" t="s">
        <v>76</v>
      </c>
      <c r="AZ40" s="39" t="s">
        <v>77</v>
      </c>
      <c r="BA40" s="13" t="s">
        <v>63</v>
      </c>
      <c r="BC40" s="38">
        <f>AW40+AX40</f>
        <v>0</v>
      </c>
      <c r="BD40" s="38">
        <f>H40/(100-BE40)*100</f>
        <v>0</v>
      </c>
      <c r="BE40" s="38">
        <v>0</v>
      </c>
      <c r="BF40" s="38">
        <f>O40</f>
        <v>0.25496000000000002</v>
      </c>
      <c r="BH40" s="38">
        <f>G40*AO40</f>
        <v>0</v>
      </c>
      <c r="BI40" s="38">
        <f>G40*AP40</f>
        <v>0</v>
      </c>
      <c r="BJ40" s="38">
        <f>G40*H40</f>
        <v>0</v>
      </c>
      <c r="BK40" s="38"/>
      <c r="BL40" s="38">
        <v>96</v>
      </c>
      <c r="BW40" s="38" t="str">
        <f>I40</f>
        <v>21</v>
      </c>
      <c r="BX40" s="5" t="s">
        <v>136</v>
      </c>
    </row>
    <row r="41" spans="1:76" x14ac:dyDescent="0.25">
      <c r="A41" s="2" t="s">
        <v>137</v>
      </c>
      <c r="B41" s="3" t="s">
        <v>51</v>
      </c>
      <c r="C41" s="3" t="s">
        <v>138</v>
      </c>
      <c r="D41" s="106" t="s">
        <v>139</v>
      </c>
      <c r="E41" s="107"/>
      <c r="F41" s="3" t="s">
        <v>140</v>
      </c>
      <c r="G41" s="38">
        <v>2</v>
      </c>
      <c r="H41" s="98"/>
      <c r="I41" s="39" t="s">
        <v>59</v>
      </c>
      <c r="J41" s="38">
        <f>G41*AO41</f>
        <v>0</v>
      </c>
      <c r="K41" s="38">
        <f>G41*AP41</f>
        <v>0</v>
      </c>
      <c r="L41" s="38">
        <f>G41*H41</f>
        <v>0</v>
      </c>
      <c r="M41" s="38">
        <f>L41*(1+BW41/100)</f>
        <v>0</v>
      </c>
      <c r="N41" s="38">
        <v>3.4200000000000001E-2</v>
      </c>
      <c r="O41" s="38">
        <f>G41*N41</f>
        <v>6.8400000000000002E-2</v>
      </c>
      <c r="P41" s="40" t="s">
        <v>67</v>
      </c>
      <c r="Z41" s="38">
        <f>IF(AQ41="5",BJ41,0)</f>
        <v>0</v>
      </c>
      <c r="AB41" s="38">
        <f>IF(AQ41="1",BH41,0)</f>
        <v>0</v>
      </c>
      <c r="AC41" s="38">
        <f>IF(AQ41="1",BI41,0)</f>
        <v>0</v>
      </c>
      <c r="AD41" s="38">
        <f>IF(AQ41="7",BH41,0)</f>
        <v>0</v>
      </c>
      <c r="AE41" s="38">
        <f>IF(AQ41="7",BI41,0)</f>
        <v>0</v>
      </c>
      <c r="AF41" s="38">
        <f>IF(AQ41="2",BH41,0)</f>
        <v>0</v>
      </c>
      <c r="AG41" s="38">
        <f>IF(AQ41="2",BI41,0)</f>
        <v>0</v>
      </c>
      <c r="AH41" s="38">
        <f>IF(AQ41="0",BJ41,0)</f>
        <v>0</v>
      </c>
      <c r="AI41" s="13" t="s">
        <v>51</v>
      </c>
      <c r="AJ41" s="38">
        <f>IF(AN41=0,L41,0)</f>
        <v>0</v>
      </c>
      <c r="AK41" s="38">
        <f>IF(AN41=12,L41,0)</f>
        <v>0</v>
      </c>
      <c r="AL41" s="38">
        <f>IF(AN41=21,L41,0)</f>
        <v>0</v>
      </c>
      <c r="AN41" s="38">
        <v>21</v>
      </c>
      <c r="AO41" s="38">
        <f>H41*0</f>
        <v>0</v>
      </c>
      <c r="AP41" s="38">
        <f>H41*(1-0)</f>
        <v>0</v>
      </c>
      <c r="AQ41" s="39" t="s">
        <v>55</v>
      </c>
      <c r="AV41" s="38">
        <f>AW41+AX41</f>
        <v>0</v>
      </c>
      <c r="AW41" s="38">
        <f>G41*AO41</f>
        <v>0</v>
      </c>
      <c r="AX41" s="38">
        <f>G41*AP41</f>
        <v>0</v>
      </c>
      <c r="AY41" s="39" t="s">
        <v>76</v>
      </c>
      <c r="AZ41" s="39" t="s">
        <v>77</v>
      </c>
      <c r="BA41" s="13" t="s">
        <v>63</v>
      </c>
      <c r="BC41" s="38">
        <f>AW41+AX41</f>
        <v>0</v>
      </c>
      <c r="BD41" s="38">
        <f>H41/(100-BE41)*100</f>
        <v>0</v>
      </c>
      <c r="BE41" s="38">
        <v>0</v>
      </c>
      <c r="BF41" s="38">
        <f>O41</f>
        <v>6.8400000000000002E-2</v>
      </c>
      <c r="BH41" s="38">
        <f>G41*AO41</f>
        <v>0</v>
      </c>
      <c r="BI41" s="38">
        <f>G41*AP41</f>
        <v>0</v>
      </c>
      <c r="BJ41" s="38">
        <f>G41*H41</f>
        <v>0</v>
      </c>
      <c r="BK41" s="38"/>
      <c r="BL41" s="38">
        <v>96</v>
      </c>
      <c r="BW41" s="38" t="str">
        <f>I41</f>
        <v>21</v>
      </c>
      <c r="BX41" s="5" t="s">
        <v>139</v>
      </c>
    </row>
    <row r="42" spans="1:76" ht="13.5" customHeight="1" x14ac:dyDescent="0.25">
      <c r="A42" s="41"/>
      <c r="C42" s="42" t="s">
        <v>97</v>
      </c>
      <c r="D42" s="178" t="s">
        <v>141</v>
      </c>
      <c r="E42" s="179"/>
      <c r="F42" s="179"/>
      <c r="G42" s="179"/>
      <c r="H42" s="179"/>
      <c r="I42" s="179"/>
      <c r="J42" s="179"/>
      <c r="K42" s="179"/>
      <c r="L42" s="179"/>
      <c r="M42" s="179"/>
      <c r="N42" s="179"/>
      <c r="O42" s="179"/>
      <c r="P42" s="180"/>
    </row>
    <row r="43" spans="1:76" x14ac:dyDescent="0.25">
      <c r="A43" s="2" t="s">
        <v>142</v>
      </c>
      <c r="B43" s="3" t="s">
        <v>51</v>
      </c>
      <c r="C43" s="3" t="s">
        <v>143</v>
      </c>
      <c r="D43" s="106" t="s">
        <v>144</v>
      </c>
      <c r="E43" s="107"/>
      <c r="F43" s="3" t="s">
        <v>58</v>
      </c>
      <c r="G43" s="38">
        <v>17</v>
      </c>
      <c r="H43" s="98"/>
      <c r="I43" s="39" t="s">
        <v>59</v>
      </c>
      <c r="J43" s="38">
        <f t="shared" ref="J43:J58" si="26">G43*AO43</f>
        <v>0</v>
      </c>
      <c r="K43" s="38">
        <f t="shared" ref="K43:K58" si="27">G43*AP43</f>
        <v>0</v>
      </c>
      <c r="L43" s="38">
        <f t="shared" ref="L43:L58" si="28">G43*H43</f>
        <v>0</v>
      </c>
      <c r="M43" s="38">
        <f t="shared" ref="M43:M58" si="29">L43*(1+BW43/100)</f>
        <v>0</v>
      </c>
      <c r="N43" s="38">
        <v>4.8999999999999998E-3</v>
      </c>
      <c r="O43" s="38">
        <f t="shared" ref="O43:O58" si="30">G43*N43</f>
        <v>8.3299999999999999E-2</v>
      </c>
      <c r="P43" s="40" t="s">
        <v>60</v>
      </c>
      <c r="Z43" s="38">
        <f t="shared" ref="Z43:Z58" si="31">IF(AQ43="5",BJ43,0)</f>
        <v>0</v>
      </c>
      <c r="AB43" s="38">
        <f t="shared" ref="AB43:AB58" si="32">IF(AQ43="1",BH43,0)</f>
        <v>0</v>
      </c>
      <c r="AC43" s="38">
        <f t="shared" ref="AC43:AC58" si="33">IF(AQ43="1",BI43,0)</f>
        <v>0</v>
      </c>
      <c r="AD43" s="38">
        <f t="shared" ref="AD43:AD58" si="34">IF(AQ43="7",BH43,0)</f>
        <v>0</v>
      </c>
      <c r="AE43" s="38">
        <f t="shared" ref="AE43:AE58" si="35">IF(AQ43="7",BI43,0)</f>
        <v>0</v>
      </c>
      <c r="AF43" s="38">
        <f t="shared" ref="AF43:AF58" si="36">IF(AQ43="2",BH43,0)</f>
        <v>0</v>
      </c>
      <c r="AG43" s="38">
        <f t="shared" ref="AG43:AG58" si="37">IF(AQ43="2",BI43,0)</f>
        <v>0</v>
      </c>
      <c r="AH43" s="38">
        <f t="shared" ref="AH43:AH58" si="38">IF(AQ43="0",BJ43,0)</f>
        <v>0</v>
      </c>
      <c r="AI43" s="13" t="s">
        <v>51</v>
      </c>
      <c r="AJ43" s="38">
        <f t="shared" ref="AJ43:AJ58" si="39">IF(AN43=0,L43,0)</f>
        <v>0</v>
      </c>
      <c r="AK43" s="38">
        <f t="shared" ref="AK43:AK58" si="40">IF(AN43=12,L43,0)</f>
        <v>0</v>
      </c>
      <c r="AL43" s="38">
        <f t="shared" ref="AL43:AL58" si="41">IF(AN43=21,L43,0)</f>
        <v>0</v>
      </c>
      <c r="AN43" s="38">
        <v>21</v>
      </c>
      <c r="AO43" s="38">
        <f>H43*0</f>
        <v>0</v>
      </c>
      <c r="AP43" s="38">
        <f>H43*(1-0)</f>
        <v>0</v>
      </c>
      <c r="AQ43" s="39" t="s">
        <v>55</v>
      </c>
      <c r="AV43" s="38">
        <f t="shared" ref="AV43:AV58" si="42">AW43+AX43</f>
        <v>0</v>
      </c>
      <c r="AW43" s="38">
        <f t="shared" ref="AW43:AW58" si="43">G43*AO43</f>
        <v>0</v>
      </c>
      <c r="AX43" s="38">
        <f t="shared" ref="AX43:AX58" si="44">G43*AP43</f>
        <v>0</v>
      </c>
      <c r="AY43" s="39" t="s">
        <v>76</v>
      </c>
      <c r="AZ43" s="39" t="s">
        <v>77</v>
      </c>
      <c r="BA43" s="13" t="s">
        <v>63</v>
      </c>
      <c r="BC43" s="38">
        <f t="shared" ref="BC43:BC58" si="45">AW43+AX43</f>
        <v>0</v>
      </c>
      <c r="BD43" s="38">
        <f t="shared" ref="BD43:BD58" si="46">H43/(100-BE43)*100</f>
        <v>0</v>
      </c>
      <c r="BE43" s="38">
        <v>0</v>
      </c>
      <c r="BF43" s="38">
        <f t="shared" ref="BF43:BF58" si="47">O43</f>
        <v>8.3299999999999999E-2</v>
      </c>
      <c r="BH43" s="38">
        <f t="shared" ref="BH43:BH58" si="48">G43*AO43</f>
        <v>0</v>
      </c>
      <c r="BI43" s="38">
        <f t="shared" ref="BI43:BI58" si="49">G43*AP43</f>
        <v>0</v>
      </c>
      <c r="BJ43" s="38">
        <f t="shared" ref="BJ43:BJ58" si="50">G43*H43</f>
        <v>0</v>
      </c>
      <c r="BK43" s="38"/>
      <c r="BL43" s="38">
        <v>96</v>
      </c>
      <c r="BW43" s="38" t="str">
        <f t="shared" ref="BW43:BW58" si="51">I43</f>
        <v>21</v>
      </c>
      <c r="BX43" s="5" t="s">
        <v>144</v>
      </c>
    </row>
    <row r="44" spans="1:76" x14ac:dyDescent="0.25">
      <c r="A44" s="2" t="s">
        <v>145</v>
      </c>
      <c r="B44" s="3" t="s">
        <v>51</v>
      </c>
      <c r="C44" s="3" t="s">
        <v>146</v>
      </c>
      <c r="D44" s="106" t="s">
        <v>147</v>
      </c>
      <c r="E44" s="107"/>
      <c r="F44" s="3" t="s">
        <v>140</v>
      </c>
      <c r="G44" s="38">
        <v>12</v>
      </c>
      <c r="H44" s="98"/>
      <c r="I44" s="39" t="s">
        <v>59</v>
      </c>
      <c r="J44" s="38">
        <f t="shared" si="26"/>
        <v>0</v>
      </c>
      <c r="K44" s="38">
        <f t="shared" si="27"/>
        <v>0</v>
      </c>
      <c r="L44" s="38">
        <f t="shared" si="28"/>
        <v>0</v>
      </c>
      <c r="M44" s="38">
        <f t="shared" si="29"/>
        <v>0</v>
      </c>
      <c r="N44" s="38">
        <v>3.4200000000000001E-2</v>
      </c>
      <c r="O44" s="38">
        <f t="shared" si="30"/>
        <v>0.41039999999999999</v>
      </c>
      <c r="P44" s="40" t="s">
        <v>60</v>
      </c>
      <c r="Z44" s="38">
        <f t="shared" si="31"/>
        <v>0</v>
      </c>
      <c r="AB44" s="38">
        <f t="shared" si="32"/>
        <v>0</v>
      </c>
      <c r="AC44" s="38">
        <f t="shared" si="33"/>
        <v>0</v>
      </c>
      <c r="AD44" s="38">
        <f t="shared" si="34"/>
        <v>0</v>
      </c>
      <c r="AE44" s="38">
        <f t="shared" si="35"/>
        <v>0</v>
      </c>
      <c r="AF44" s="38">
        <f t="shared" si="36"/>
        <v>0</v>
      </c>
      <c r="AG44" s="38">
        <f t="shared" si="37"/>
        <v>0</v>
      </c>
      <c r="AH44" s="38">
        <f t="shared" si="38"/>
        <v>0</v>
      </c>
      <c r="AI44" s="13" t="s">
        <v>51</v>
      </c>
      <c r="AJ44" s="38">
        <f t="shared" si="39"/>
        <v>0</v>
      </c>
      <c r="AK44" s="38">
        <f t="shared" si="40"/>
        <v>0</v>
      </c>
      <c r="AL44" s="38">
        <f t="shared" si="41"/>
        <v>0</v>
      </c>
      <c r="AN44" s="38">
        <v>21</v>
      </c>
      <c r="AO44" s="38">
        <f>H44*0</f>
        <v>0</v>
      </c>
      <c r="AP44" s="38">
        <f>H44*(1-0)</f>
        <v>0</v>
      </c>
      <c r="AQ44" s="39" t="s">
        <v>55</v>
      </c>
      <c r="AV44" s="38">
        <f t="shared" si="42"/>
        <v>0</v>
      </c>
      <c r="AW44" s="38">
        <f t="shared" si="43"/>
        <v>0</v>
      </c>
      <c r="AX44" s="38">
        <f t="shared" si="44"/>
        <v>0</v>
      </c>
      <c r="AY44" s="39" t="s">
        <v>76</v>
      </c>
      <c r="AZ44" s="39" t="s">
        <v>77</v>
      </c>
      <c r="BA44" s="13" t="s">
        <v>63</v>
      </c>
      <c r="BC44" s="38">
        <f t="shared" si="45"/>
        <v>0</v>
      </c>
      <c r="BD44" s="38">
        <f t="shared" si="46"/>
        <v>0</v>
      </c>
      <c r="BE44" s="38">
        <v>0</v>
      </c>
      <c r="BF44" s="38">
        <f t="shared" si="47"/>
        <v>0.41039999999999999</v>
      </c>
      <c r="BH44" s="38">
        <f t="shared" si="48"/>
        <v>0</v>
      </c>
      <c r="BI44" s="38">
        <f t="shared" si="49"/>
        <v>0</v>
      </c>
      <c r="BJ44" s="38">
        <f t="shared" si="50"/>
        <v>0</v>
      </c>
      <c r="BK44" s="38"/>
      <c r="BL44" s="38">
        <v>96</v>
      </c>
      <c r="BW44" s="38" t="str">
        <f t="shared" si="51"/>
        <v>21</v>
      </c>
      <c r="BX44" s="5" t="s">
        <v>147</v>
      </c>
    </row>
    <row r="45" spans="1:76" x14ac:dyDescent="0.25">
      <c r="A45" s="2" t="s">
        <v>148</v>
      </c>
      <c r="B45" s="3" t="s">
        <v>51</v>
      </c>
      <c r="C45" s="3" t="s">
        <v>149</v>
      </c>
      <c r="D45" s="106" t="s">
        <v>150</v>
      </c>
      <c r="E45" s="107"/>
      <c r="F45" s="3" t="s">
        <v>140</v>
      </c>
      <c r="G45" s="38">
        <v>1</v>
      </c>
      <c r="H45" s="98"/>
      <c r="I45" s="39" t="s">
        <v>59</v>
      </c>
      <c r="J45" s="38">
        <f t="shared" si="26"/>
        <v>0</v>
      </c>
      <c r="K45" s="38">
        <f t="shared" si="27"/>
        <v>0</v>
      </c>
      <c r="L45" s="38">
        <f t="shared" si="28"/>
        <v>0</v>
      </c>
      <c r="M45" s="38">
        <f t="shared" si="29"/>
        <v>0</v>
      </c>
      <c r="N45" s="38">
        <v>1.7600000000000001E-2</v>
      </c>
      <c r="O45" s="38">
        <f t="shared" si="30"/>
        <v>1.7600000000000001E-2</v>
      </c>
      <c r="P45" s="40" t="s">
        <v>67</v>
      </c>
      <c r="Z45" s="38">
        <f t="shared" si="31"/>
        <v>0</v>
      </c>
      <c r="AB45" s="38">
        <f t="shared" si="32"/>
        <v>0</v>
      </c>
      <c r="AC45" s="38">
        <f t="shared" si="33"/>
        <v>0</v>
      </c>
      <c r="AD45" s="38">
        <f t="shared" si="34"/>
        <v>0</v>
      </c>
      <c r="AE45" s="38">
        <f t="shared" si="35"/>
        <v>0</v>
      </c>
      <c r="AF45" s="38">
        <f t="shared" si="36"/>
        <v>0</v>
      </c>
      <c r="AG45" s="38">
        <f t="shared" si="37"/>
        <v>0</v>
      </c>
      <c r="AH45" s="38">
        <f t="shared" si="38"/>
        <v>0</v>
      </c>
      <c r="AI45" s="13" t="s">
        <v>51</v>
      </c>
      <c r="AJ45" s="38">
        <f t="shared" si="39"/>
        <v>0</v>
      </c>
      <c r="AK45" s="38">
        <f t="shared" si="40"/>
        <v>0</v>
      </c>
      <c r="AL45" s="38">
        <f t="shared" si="41"/>
        <v>0</v>
      </c>
      <c r="AN45" s="38">
        <v>21</v>
      </c>
      <c r="AO45" s="38">
        <f>H45*0</f>
        <v>0</v>
      </c>
      <c r="AP45" s="38">
        <f>H45*(1-0)</f>
        <v>0</v>
      </c>
      <c r="AQ45" s="39" t="s">
        <v>55</v>
      </c>
      <c r="AV45" s="38">
        <f t="shared" si="42"/>
        <v>0</v>
      </c>
      <c r="AW45" s="38">
        <f t="shared" si="43"/>
        <v>0</v>
      </c>
      <c r="AX45" s="38">
        <f t="shared" si="44"/>
        <v>0</v>
      </c>
      <c r="AY45" s="39" t="s">
        <v>76</v>
      </c>
      <c r="AZ45" s="39" t="s">
        <v>77</v>
      </c>
      <c r="BA45" s="13" t="s">
        <v>63</v>
      </c>
      <c r="BC45" s="38">
        <f t="shared" si="45"/>
        <v>0</v>
      </c>
      <c r="BD45" s="38">
        <f t="shared" si="46"/>
        <v>0</v>
      </c>
      <c r="BE45" s="38">
        <v>0</v>
      </c>
      <c r="BF45" s="38">
        <f t="shared" si="47"/>
        <v>1.7600000000000001E-2</v>
      </c>
      <c r="BH45" s="38">
        <f t="shared" si="48"/>
        <v>0</v>
      </c>
      <c r="BI45" s="38">
        <f t="shared" si="49"/>
        <v>0</v>
      </c>
      <c r="BJ45" s="38">
        <f t="shared" si="50"/>
        <v>0</v>
      </c>
      <c r="BK45" s="38"/>
      <c r="BL45" s="38">
        <v>96</v>
      </c>
      <c r="BW45" s="38" t="str">
        <f t="shared" si="51"/>
        <v>21</v>
      </c>
      <c r="BX45" s="5" t="s">
        <v>150</v>
      </c>
    </row>
    <row r="46" spans="1:76" x14ac:dyDescent="0.25">
      <c r="A46" s="2" t="s">
        <v>151</v>
      </c>
      <c r="B46" s="3" t="s">
        <v>51</v>
      </c>
      <c r="C46" s="3" t="s">
        <v>152</v>
      </c>
      <c r="D46" s="106" t="s">
        <v>153</v>
      </c>
      <c r="E46" s="107"/>
      <c r="F46" s="3" t="s">
        <v>140</v>
      </c>
      <c r="G46" s="38">
        <v>1</v>
      </c>
      <c r="H46" s="98"/>
      <c r="I46" s="39" t="s">
        <v>59</v>
      </c>
      <c r="J46" s="38">
        <f t="shared" si="26"/>
        <v>0</v>
      </c>
      <c r="K46" s="38">
        <f t="shared" si="27"/>
        <v>0</v>
      </c>
      <c r="L46" s="38">
        <f t="shared" si="28"/>
        <v>0</v>
      </c>
      <c r="M46" s="38">
        <f t="shared" si="29"/>
        <v>0</v>
      </c>
      <c r="N46" s="38">
        <v>0.14648</v>
      </c>
      <c r="O46" s="38">
        <f t="shared" si="30"/>
        <v>0.14648</v>
      </c>
      <c r="P46" s="40" t="s">
        <v>60</v>
      </c>
      <c r="Z46" s="38">
        <f t="shared" si="31"/>
        <v>0</v>
      </c>
      <c r="AB46" s="38">
        <f t="shared" si="32"/>
        <v>0</v>
      </c>
      <c r="AC46" s="38">
        <f t="shared" si="33"/>
        <v>0</v>
      </c>
      <c r="AD46" s="38">
        <f t="shared" si="34"/>
        <v>0</v>
      </c>
      <c r="AE46" s="38">
        <f t="shared" si="35"/>
        <v>0</v>
      </c>
      <c r="AF46" s="38">
        <f t="shared" si="36"/>
        <v>0</v>
      </c>
      <c r="AG46" s="38">
        <f t="shared" si="37"/>
        <v>0</v>
      </c>
      <c r="AH46" s="38">
        <f t="shared" si="38"/>
        <v>0</v>
      </c>
      <c r="AI46" s="13" t="s">
        <v>51</v>
      </c>
      <c r="AJ46" s="38">
        <f t="shared" si="39"/>
        <v>0</v>
      </c>
      <c r="AK46" s="38">
        <f t="shared" si="40"/>
        <v>0</v>
      </c>
      <c r="AL46" s="38">
        <f t="shared" si="41"/>
        <v>0</v>
      </c>
      <c r="AN46" s="38">
        <v>21</v>
      </c>
      <c r="AO46" s="38">
        <f>H46*0</f>
        <v>0</v>
      </c>
      <c r="AP46" s="38">
        <f>H46*(1-0)</f>
        <v>0</v>
      </c>
      <c r="AQ46" s="39" t="s">
        <v>55</v>
      </c>
      <c r="AV46" s="38">
        <f t="shared" si="42"/>
        <v>0</v>
      </c>
      <c r="AW46" s="38">
        <f t="shared" si="43"/>
        <v>0</v>
      </c>
      <c r="AX46" s="38">
        <f t="shared" si="44"/>
        <v>0</v>
      </c>
      <c r="AY46" s="39" t="s">
        <v>76</v>
      </c>
      <c r="AZ46" s="39" t="s">
        <v>77</v>
      </c>
      <c r="BA46" s="13" t="s">
        <v>63</v>
      </c>
      <c r="BC46" s="38">
        <f t="shared" si="45"/>
        <v>0</v>
      </c>
      <c r="BD46" s="38">
        <f t="shared" si="46"/>
        <v>0</v>
      </c>
      <c r="BE46" s="38">
        <v>0</v>
      </c>
      <c r="BF46" s="38">
        <f t="shared" si="47"/>
        <v>0.14648</v>
      </c>
      <c r="BH46" s="38">
        <f t="shared" si="48"/>
        <v>0</v>
      </c>
      <c r="BI46" s="38">
        <f t="shared" si="49"/>
        <v>0</v>
      </c>
      <c r="BJ46" s="38">
        <f t="shared" si="50"/>
        <v>0</v>
      </c>
      <c r="BK46" s="38"/>
      <c r="BL46" s="38">
        <v>96</v>
      </c>
      <c r="BW46" s="38" t="str">
        <f t="shared" si="51"/>
        <v>21</v>
      </c>
      <c r="BX46" s="5" t="s">
        <v>153</v>
      </c>
    </row>
    <row r="47" spans="1:76" x14ac:dyDescent="0.25">
      <c r="A47" s="2" t="s">
        <v>154</v>
      </c>
      <c r="B47" s="3" t="s">
        <v>51</v>
      </c>
      <c r="C47" s="3" t="s">
        <v>155</v>
      </c>
      <c r="D47" s="106" t="s">
        <v>156</v>
      </c>
      <c r="E47" s="107"/>
      <c r="F47" s="3" t="s">
        <v>58</v>
      </c>
      <c r="G47" s="38">
        <v>5</v>
      </c>
      <c r="H47" s="98"/>
      <c r="I47" s="39" t="s">
        <v>59</v>
      </c>
      <c r="J47" s="38">
        <f t="shared" si="26"/>
        <v>0</v>
      </c>
      <c r="K47" s="38">
        <f t="shared" si="27"/>
        <v>0</v>
      </c>
      <c r="L47" s="38">
        <f t="shared" si="28"/>
        <v>0</v>
      </c>
      <c r="M47" s="38">
        <f t="shared" si="29"/>
        <v>0</v>
      </c>
      <c r="N47" s="38">
        <v>3.1870000000000002E-2</v>
      </c>
      <c r="O47" s="38">
        <f t="shared" si="30"/>
        <v>0.15935000000000002</v>
      </c>
      <c r="P47" s="40" t="s">
        <v>67</v>
      </c>
      <c r="Z47" s="38">
        <f t="shared" si="31"/>
        <v>0</v>
      </c>
      <c r="AB47" s="38">
        <f t="shared" si="32"/>
        <v>0</v>
      </c>
      <c r="AC47" s="38">
        <f t="shared" si="33"/>
        <v>0</v>
      </c>
      <c r="AD47" s="38">
        <f t="shared" si="34"/>
        <v>0</v>
      </c>
      <c r="AE47" s="38">
        <f t="shared" si="35"/>
        <v>0</v>
      </c>
      <c r="AF47" s="38">
        <f t="shared" si="36"/>
        <v>0</v>
      </c>
      <c r="AG47" s="38">
        <f t="shared" si="37"/>
        <v>0</v>
      </c>
      <c r="AH47" s="38">
        <f t="shared" si="38"/>
        <v>0</v>
      </c>
      <c r="AI47" s="13" t="s">
        <v>51</v>
      </c>
      <c r="AJ47" s="38">
        <f t="shared" si="39"/>
        <v>0</v>
      </c>
      <c r="AK47" s="38">
        <f t="shared" si="40"/>
        <v>0</v>
      </c>
      <c r="AL47" s="38">
        <f t="shared" si="41"/>
        <v>0</v>
      </c>
      <c r="AN47" s="38">
        <v>21</v>
      </c>
      <c r="AO47" s="38">
        <f>H47*0</f>
        <v>0</v>
      </c>
      <c r="AP47" s="38">
        <f>H47*(1-0)</f>
        <v>0</v>
      </c>
      <c r="AQ47" s="39" t="s">
        <v>55</v>
      </c>
      <c r="AV47" s="38">
        <f t="shared" si="42"/>
        <v>0</v>
      </c>
      <c r="AW47" s="38">
        <f t="shared" si="43"/>
        <v>0</v>
      </c>
      <c r="AX47" s="38">
        <f t="shared" si="44"/>
        <v>0</v>
      </c>
      <c r="AY47" s="39" t="s">
        <v>76</v>
      </c>
      <c r="AZ47" s="39" t="s">
        <v>77</v>
      </c>
      <c r="BA47" s="13" t="s">
        <v>63</v>
      </c>
      <c r="BC47" s="38">
        <f t="shared" si="45"/>
        <v>0</v>
      </c>
      <c r="BD47" s="38">
        <f t="shared" si="46"/>
        <v>0</v>
      </c>
      <c r="BE47" s="38">
        <v>0</v>
      </c>
      <c r="BF47" s="38">
        <f t="shared" si="47"/>
        <v>0.15935000000000002</v>
      </c>
      <c r="BH47" s="38">
        <f t="shared" si="48"/>
        <v>0</v>
      </c>
      <c r="BI47" s="38">
        <f t="shared" si="49"/>
        <v>0</v>
      </c>
      <c r="BJ47" s="38">
        <f t="shared" si="50"/>
        <v>0</v>
      </c>
      <c r="BK47" s="38"/>
      <c r="BL47" s="38">
        <v>96</v>
      </c>
      <c r="BW47" s="38" t="str">
        <f t="shared" si="51"/>
        <v>21</v>
      </c>
      <c r="BX47" s="5" t="s">
        <v>156</v>
      </c>
    </row>
    <row r="48" spans="1:76" x14ac:dyDescent="0.25">
      <c r="A48" s="2" t="s">
        <v>157</v>
      </c>
      <c r="B48" s="3" t="s">
        <v>51</v>
      </c>
      <c r="C48" s="3" t="s">
        <v>158</v>
      </c>
      <c r="D48" s="106" t="s">
        <v>159</v>
      </c>
      <c r="E48" s="107"/>
      <c r="F48" s="3" t="s">
        <v>58</v>
      </c>
      <c r="G48" s="38">
        <v>2</v>
      </c>
      <c r="H48" s="98"/>
      <c r="I48" s="39" t="s">
        <v>59</v>
      </c>
      <c r="J48" s="38">
        <f t="shared" si="26"/>
        <v>0</v>
      </c>
      <c r="K48" s="38">
        <f t="shared" si="27"/>
        <v>0</v>
      </c>
      <c r="L48" s="38">
        <f t="shared" si="28"/>
        <v>0</v>
      </c>
      <c r="M48" s="38">
        <f t="shared" si="29"/>
        <v>0</v>
      </c>
      <c r="N48" s="38">
        <v>2.5010000000000001E-2</v>
      </c>
      <c r="O48" s="38">
        <f t="shared" si="30"/>
        <v>5.0020000000000002E-2</v>
      </c>
      <c r="P48" s="40" t="s">
        <v>60</v>
      </c>
      <c r="Z48" s="38">
        <f t="shared" si="31"/>
        <v>0</v>
      </c>
      <c r="AB48" s="38">
        <f t="shared" si="32"/>
        <v>0</v>
      </c>
      <c r="AC48" s="38">
        <f t="shared" si="33"/>
        <v>0</v>
      </c>
      <c r="AD48" s="38">
        <f t="shared" si="34"/>
        <v>0</v>
      </c>
      <c r="AE48" s="38">
        <f t="shared" si="35"/>
        <v>0</v>
      </c>
      <c r="AF48" s="38">
        <f t="shared" si="36"/>
        <v>0</v>
      </c>
      <c r="AG48" s="38">
        <f t="shared" si="37"/>
        <v>0</v>
      </c>
      <c r="AH48" s="38">
        <f t="shared" si="38"/>
        <v>0</v>
      </c>
      <c r="AI48" s="13" t="s">
        <v>51</v>
      </c>
      <c r="AJ48" s="38">
        <f t="shared" si="39"/>
        <v>0</v>
      </c>
      <c r="AK48" s="38">
        <f t="shared" si="40"/>
        <v>0</v>
      </c>
      <c r="AL48" s="38">
        <f t="shared" si="41"/>
        <v>0</v>
      </c>
      <c r="AN48" s="38">
        <v>21</v>
      </c>
      <c r="AO48" s="38">
        <f>H48*0.15606249</f>
        <v>0</v>
      </c>
      <c r="AP48" s="38">
        <f>H48*(1-0.15606249)</f>
        <v>0</v>
      </c>
      <c r="AQ48" s="39" t="s">
        <v>55</v>
      </c>
      <c r="AV48" s="38">
        <f t="shared" si="42"/>
        <v>0</v>
      </c>
      <c r="AW48" s="38">
        <f t="shared" si="43"/>
        <v>0</v>
      </c>
      <c r="AX48" s="38">
        <f t="shared" si="44"/>
        <v>0</v>
      </c>
      <c r="AY48" s="39" t="s">
        <v>76</v>
      </c>
      <c r="AZ48" s="39" t="s">
        <v>77</v>
      </c>
      <c r="BA48" s="13" t="s">
        <v>63</v>
      </c>
      <c r="BC48" s="38">
        <f t="shared" si="45"/>
        <v>0</v>
      </c>
      <c r="BD48" s="38">
        <f t="shared" si="46"/>
        <v>0</v>
      </c>
      <c r="BE48" s="38">
        <v>0</v>
      </c>
      <c r="BF48" s="38">
        <f t="shared" si="47"/>
        <v>5.0020000000000002E-2</v>
      </c>
      <c r="BH48" s="38">
        <f t="shared" si="48"/>
        <v>0</v>
      </c>
      <c r="BI48" s="38">
        <f t="shared" si="49"/>
        <v>0</v>
      </c>
      <c r="BJ48" s="38">
        <f t="shared" si="50"/>
        <v>0</v>
      </c>
      <c r="BK48" s="38"/>
      <c r="BL48" s="38">
        <v>96</v>
      </c>
      <c r="BW48" s="38" t="str">
        <f t="shared" si="51"/>
        <v>21</v>
      </c>
      <c r="BX48" s="5" t="s">
        <v>159</v>
      </c>
    </row>
    <row r="49" spans="1:76" x14ac:dyDescent="0.25">
      <c r="A49" s="2" t="s">
        <v>160</v>
      </c>
      <c r="B49" s="3" t="s">
        <v>51</v>
      </c>
      <c r="C49" s="3" t="s">
        <v>161</v>
      </c>
      <c r="D49" s="106" t="s">
        <v>162</v>
      </c>
      <c r="E49" s="107"/>
      <c r="F49" s="3" t="s">
        <v>58</v>
      </c>
      <c r="G49" s="38">
        <v>2</v>
      </c>
      <c r="H49" s="98"/>
      <c r="I49" s="39" t="s">
        <v>59</v>
      </c>
      <c r="J49" s="38">
        <f t="shared" si="26"/>
        <v>0</v>
      </c>
      <c r="K49" s="38">
        <f t="shared" si="27"/>
        <v>0</v>
      </c>
      <c r="L49" s="38">
        <f t="shared" si="28"/>
        <v>0</v>
      </c>
      <c r="M49" s="38">
        <f t="shared" si="29"/>
        <v>0</v>
      </c>
      <c r="N49" s="38">
        <v>2.5010000000000001E-2</v>
      </c>
      <c r="O49" s="38">
        <f t="shared" si="30"/>
        <v>5.0020000000000002E-2</v>
      </c>
      <c r="P49" s="40" t="s">
        <v>67</v>
      </c>
      <c r="Z49" s="38">
        <f t="shared" si="31"/>
        <v>0</v>
      </c>
      <c r="AB49" s="38">
        <f t="shared" si="32"/>
        <v>0</v>
      </c>
      <c r="AC49" s="38">
        <f t="shared" si="33"/>
        <v>0</v>
      </c>
      <c r="AD49" s="38">
        <f t="shared" si="34"/>
        <v>0</v>
      </c>
      <c r="AE49" s="38">
        <f t="shared" si="35"/>
        <v>0</v>
      </c>
      <c r="AF49" s="38">
        <f t="shared" si="36"/>
        <v>0</v>
      </c>
      <c r="AG49" s="38">
        <f t="shared" si="37"/>
        <v>0</v>
      </c>
      <c r="AH49" s="38">
        <f t="shared" si="38"/>
        <v>0</v>
      </c>
      <c r="AI49" s="13" t="s">
        <v>51</v>
      </c>
      <c r="AJ49" s="38">
        <f t="shared" si="39"/>
        <v>0</v>
      </c>
      <c r="AK49" s="38">
        <f t="shared" si="40"/>
        <v>0</v>
      </c>
      <c r="AL49" s="38">
        <f t="shared" si="41"/>
        <v>0</v>
      </c>
      <c r="AN49" s="38">
        <v>21</v>
      </c>
      <c r="AO49" s="38">
        <f>H49*0.15608</f>
        <v>0</v>
      </c>
      <c r="AP49" s="38">
        <f>H49*(1-0.15608)</f>
        <v>0</v>
      </c>
      <c r="AQ49" s="39" t="s">
        <v>55</v>
      </c>
      <c r="AV49" s="38">
        <f t="shared" si="42"/>
        <v>0</v>
      </c>
      <c r="AW49" s="38">
        <f t="shared" si="43"/>
        <v>0</v>
      </c>
      <c r="AX49" s="38">
        <f t="shared" si="44"/>
        <v>0</v>
      </c>
      <c r="AY49" s="39" t="s">
        <v>76</v>
      </c>
      <c r="AZ49" s="39" t="s">
        <v>77</v>
      </c>
      <c r="BA49" s="13" t="s">
        <v>63</v>
      </c>
      <c r="BC49" s="38">
        <f t="shared" si="45"/>
        <v>0</v>
      </c>
      <c r="BD49" s="38">
        <f t="shared" si="46"/>
        <v>0</v>
      </c>
      <c r="BE49" s="38">
        <v>0</v>
      </c>
      <c r="BF49" s="38">
        <f t="shared" si="47"/>
        <v>5.0020000000000002E-2</v>
      </c>
      <c r="BH49" s="38">
        <f t="shared" si="48"/>
        <v>0</v>
      </c>
      <c r="BI49" s="38">
        <f t="shared" si="49"/>
        <v>0</v>
      </c>
      <c r="BJ49" s="38">
        <f t="shared" si="50"/>
        <v>0</v>
      </c>
      <c r="BK49" s="38"/>
      <c r="BL49" s="38">
        <v>96</v>
      </c>
      <c r="BW49" s="38" t="str">
        <f t="shared" si="51"/>
        <v>21</v>
      </c>
      <c r="BX49" s="5" t="s">
        <v>162</v>
      </c>
    </row>
    <row r="50" spans="1:76" x14ac:dyDescent="0.25">
      <c r="A50" s="2" t="s">
        <v>163</v>
      </c>
      <c r="B50" s="3" t="s">
        <v>51</v>
      </c>
      <c r="C50" s="3" t="s">
        <v>164</v>
      </c>
      <c r="D50" s="106" t="s">
        <v>165</v>
      </c>
      <c r="E50" s="107"/>
      <c r="F50" s="3" t="s">
        <v>166</v>
      </c>
      <c r="G50" s="38">
        <v>18.629100000000001</v>
      </c>
      <c r="H50" s="98"/>
      <c r="I50" s="39" t="s">
        <v>59</v>
      </c>
      <c r="J50" s="38">
        <f t="shared" si="26"/>
        <v>0</v>
      </c>
      <c r="K50" s="38">
        <f t="shared" si="27"/>
        <v>0</v>
      </c>
      <c r="L50" s="38">
        <f t="shared" si="28"/>
        <v>0</v>
      </c>
      <c r="M50" s="38">
        <f t="shared" si="29"/>
        <v>0</v>
      </c>
      <c r="N50" s="38">
        <v>0</v>
      </c>
      <c r="O50" s="38">
        <f t="shared" si="30"/>
        <v>0</v>
      </c>
      <c r="P50" s="40" t="s">
        <v>60</v>
      </c>
      <c r="Z50" s="38">
        <f t="shared" si="31"/>
        <v>0</v>
      </c>
      <c r="AB50" s="38">
        <f t="shared" si="32"/>
        <v>0</v>
      </c>
      <c r="AC50" s="38">
        <f t="shared" si="33"/>
        <v>0</v>
      </c>
      <c r="AD50" s="38">
        <f t="shared" si="34"/>
        <v>0</v>
      </c>
      <c r="AE50" s="38">
        <f t="shared" si="35"/>
        <v>0</v>
      </c>
      <c r="AF50" s="38">
        <f t="shared" si="36"/>
        <v>0</v>
      </c>
      <c r="AG50" s="38">
        <f t="shared" si="37"/>
        <v>0</v>
      </c>
      <c r="AH50" s="38">
        <f t="shared" si="38"/>
        <v>0</v>
      </c>
      <c r="AI50" s="13" t="s">
        <v>51</v>
      </c>
      <c r="AJ50" s="38">
        <f t="shared" si="39"/>
        <v>0</v>
      </c>
      <c r="AK50" s="38">
        <f t="shared" si="40"/>
        <v>0</v>
      </c>
      <c r="AL50" s="38">
        <f t="shared" si="41"/>
        <v>0</v>
      </c>
      <c r="AN50" s="38">
        <v>21</v>
      </c>
      <c r="AO50" s="38">
        <f t="shared" ref="AO50:AO58" si="52">H50*0</f>
        <v>0</v>
      </c>
      <c r="AP50" s="38">
        <f t="shared" ref="AP50:AP58" si="53">H50*(1-0)</f>
        <v>0</v>
      </c>
      <c r="AQ50" s="39" t="s">
        <v>80</v>
      </c>
      <c r="AV50" s="38">
        <f t="shared" si="42"/>
        <v>0</v>
      </c>
      <c r="AW50" s="38">
        <f t="shared" si="43"/>
        <v>0</v>
      </c>
      <c r="AX50" s="38">
        <f t="shared" si="44"/>
        <v>0</v>
      </c>
      <c r="AY50" s="39" t="s">
        <v>76</v>
      </c>
      <c r="AZ50" s="39" t="s">
        <v>77</v>
      </c>
      <c r="BA50" s="13" t="s">
        <v>63</v>
      </c>
      <c r="BC50" s="38">
        <f t="shared" si="45"/>
        <v>0</v>
      </c>
      <c r="BD50" s="38">
        <f t="shared" si="46"/>
        <v>0</v>
      </c>
      <c r="BE50" s="38">
        <v>0</v>
      </c>
      <c r="BF50" s="38">
        <f t="shared" si="47"/>
        <v>0</v>
      </c>
      <c r="BH50" s="38">
        <f t="shared" si="48"/>
        <v>0</v>
      </c>
      <c r="BI50" s="38">
        <f t="shared" si="49"/>
        <v>0</v>
      </c>
      <c r="BJ50" s="38">
        <f t="shared" si="50"/>
        <v>0</v>
      </c>
      <c r="BK50" s="38"/>
      <c r="BL50" s="38">
        <v>96</v>
      </c>
      <c r="BW50" s="38" t="str">
        <f t="shared" si="51"/>
        <v>21</v>
      </c>
      <c r="BX50" s="5" t="s">
        <v>165</v>
      </c>
    </row>
    <row r="51" spans="1:76" x14ac:dyDescent="0.25">
      <c r="A51" s="2" t="s">
        <v>53</v>
      </c>
      <c r="B51" s="3" t="s">
        <v>51</v>
      </c>
      <c r="C51" s="3" t="s">
        <v>167</v>
      </c>
      <c r="D51" s="106" t="s">
        <v>168</v>
      </c>
      <c r="E51" s="107"/>
      <c r="F51" s="3" t="s">
        <v>166</v>
      </c>
      <c r="G51" s="38">
        <v>74.516400000000004</v>
      </c>
      <c r="H51" s="98"/>
      <c r="I51" s="39" t="s">
        <v>59</v>
      </c>
      <c r="J51" s="38">
        <f t="shared" si="26"/>
        <v>0</v>
      </c>
      <c r="K51" s="38">
        <f t="shared" si="27"/>
        <v>0</v>
      </c>
      <c r="L51" s="38">
        <f t="shared" si="28"/>
        <v>0</v>
      </c>
      <c r="M51" s="38">
        <f t="shared" si="29"/>
        <v>0</v>
      </c>
      <c r="N51" s="38">
        <v>0</v>
      </c>
      <c r="O51" s="38">
        <f t="shared" si="30"/>
        <v>0</v>
      </c>
      <c r="P51" s="40" t="s">
        <v>60</v>
      </c>
      <c r="Z51" s="38">
        <f t="shared" si="31"/>
        <v>0</v>
      </c>
      <c r="AB51" s="38">
        <f t="shared" si="32"/>
        <v>0</v>
      </c>
      <c r="AC51" s="38">
        <f t="shared" si="33"/>
        <v>0</v>
      </c>
      <c r="AD51" s="38">
        <f t="shared" si="34"/>
        <v>0</v>
      </c>
      <c r="AE51" s="38">
        <f t="shared" si="35"/>
        <v>0</v>
      </c>
      <c r="AF51" s="38">
        <f t="shared" si="36"/>
        <v>0</v>
      </c>
      <c r="AG51" s="38">
        <f t="shared" si="37"/>
        <v>0</v>
      </c>
      <c r="AH51" s="38">
        <f t="shared" si="38"/>
        <v>0</v>
      </c>
      <c r="AI51" s="13" t="s">
        <v>51</v>
      </c>
      <c r="AJ51" s="38">
        <f t="shared" si="39"/>
        <v>0</v>
      </c>
      <c r="AK51" s="38">
        <f t="shared" si="40"/>
        <v>0</v>
      </c>
      <c r="AL51" s="38">
        <f t="shared" si="41"/>
        <v>0</v>
      </c>
      <c r="AN51" s="38">
        <v>21</v>
      </c>
      <c r="AO51" s="38">
        <f t="shared" si="52"/>
        <v>0</v>
      </c>
      <c r="AP51" s="38">
        <f t="shared" si="53"/>
        <v>0</v>
      </c>
      <c r="AQ51" s="39" t="s">
        <v>80</v>
      </c>
      <c r="AV51" s="38">
        <f t="shared" si="42"/>
        <v>0</v>
      </c>
      <c r="AW51" s="38">
        <f t="shared" si="43"/>
        <v>0</v>
      </c>
      <c r="AX51" s="38">
        <f t="shared" si="44"/>
        <v>0</v>
      </c>
      <c r="AY51" s="39" t="s">
        <v>76</v>
      </c>
      <c r="AZ51" s="39" t="s">
        <v>77</v>
      </c>
      <c r="BA51" s="13" t="s">
        <v>63</v>
      </c>
      <c r="BC51" s="38">
        <f t="shared" si="45"/>
        <v>0</v>
      </c>
      <c r="BD51" s="38">
        <f t="shared" si="46"/>
        <v>0</v>
      </c>
      <c r="BE51" s="38">
        <v>0</v>
      </c>
      <c r="BF51" s="38">
        <f t="shared" si="47"/>
        <v>0</v>
      </c>
      <c r="BH51" s="38">
        <f t="shared" si="48"/>
        <v>0</v>
      </c>
      <c r="BI51" s="38">
        <f t="shared" si="49"/>
        <v>0</v>
      </c>
      <c r="BJ51" s="38">
        <f t="shared" si="50"/>
        <v>0</v>
      </c>
      <c r="BK51" s="38"/>
      <c r="BL51" s="38">
        <v>96</v>
      </c>
      <c r="BW51" s="38" t="str">
        <f t="shared" si="51"/>
        <v>21</v>
      </c>
      <c r="BX51" s="5" t="s">
        <v>168</v>
      </c>
    </row>
    <row r="52" spans="1:76" x14ac:dyDescent="0.25">
      <c r="A52" s="2" t="s">
        <v>169</v>
      </c>
      <c r="B52" s="3" t="s">
        <v>51</v>
      </c>
      <c r="C52" s="3" t="s">
        <v>170</v>
      </c>
      <c r="D52" s="106" t="s">
        <v>171</v>
      </c>
      <c r="E52" s="107"/>
      <c r="F52" s="3" t="s">
        <v>166</v>
      </c>
      <c r="G52" s="38">
        <v>18.629100000000001</v>
      </c>
      <c r="H52" s="98"/>
      <c r="I52" s="39" t="s">
        <v>59</v>
      </c>
      <c r="J52" s="38">
        <f t="shared" si="26"/>
        <v>0</v>
      </c>
      <c r="K52" s="38">
        <f t="shared" si="27"/>
        <v>0</v>
      </c>
      <c r="L52" s="38">
        <f t="shared" si="28"/>
        <v>0</v>
      </c>
      <c r="M52" s="38">
        <f t="shared" si="29"/>
        <v>0</v>
      </c>
      <c r="N52" s="38">
        <v>0</v>
      </c>
      <c r="O52" s="38">
        <f t="shared" si="30"/>
        <v>0</v>
      </c>
      <c r="P52" s="40" t="s">
        <v>60</v>
      </c>
      <c r="Z52" s="38">
        <f t="shared" si="31"/>
        <v>0</v>
      </c>
      <c r="AB52" s="38">
        <f t="shared" si="32"/>
        <v>0</v>
      </c>
      <c r="AC52" s="38">
        <f t="shared" si="33"/>
        <v>0</v>
      </c>
      <c r="AD52" s="38">
        <f t="shared" si="34"/>
        <v>0</v>
      </c>
      <c r="AE52" s="38">
        <f t="shared" si="35"/>
        <v>0</v>
      </c>
      <c r="AF52" s="38">
        <f t="shared" si="36"/>
        <v>0</v>
      </c>
      <c r="AG52" s="38">
        <f t="shared" si="37"/>
        <v>0</v>
      </c>
      <c r="AH52" s="38">
        <f t="shared" si="38"/>
        <v>0</v>
      </c>
      <c r="AI52" s="13" t="s">
        <v>51</v>
      </c>
      <c r="AJ52" s="38">
        <f t="shared" si="39"/>
        <v>0</v>
      </c>
      <c r="AK52" s="38">
        <f t="shared" si="40"/>
        <v>0</v>
      </c>
      <c r="AL52" s="38">
        <f t="shared" si="41"/>
        <v>0</v>
      </c>
      <c r="AN52" s="38">
        <v>21</v>
      </c>
      <c r="AO52" s="38">
        <f t="shared" si="52"/>
        <v>0</v>
      </c>
      <c r="AP52" s="38">
        <f t="shared" si="53"/>
        <v>0</v>
      </c>
      <c r="AQ52" s="39" t="s">
        <v>80</v>
      </c>
      <c r="AV52" s="38">
        <f t="shared" si="42"/>
        <v>0</v>
      </c>
      <c r="AW52" s="38">
        <f t="shared" si="43"/>
        <v>0</v>
      </c>
      <c r="AX52" s="38">
        <f t="shared" si="44"/>
        <v>0</v>
      </c>
      <c r="AY52" s="39" t="s">
        <v>76</v>
      </c>
      <c r="AZ52" s="39" t="s">
        <v>77</v>
      </c>
      <c r="BA52" s="13" t="s">
        <v>63</v>
      </c>
      <c r="BC52" s="38">
        <f t="shared" si="45"/>
        <v>0</v>
      </c>
      <c r="BD52" s="38">
        <f t="shared" si="46"/>
        <v>0</v>
      </c>
      <c r="BE52" s="38">
        <v>0</v>
      </c>
      <c r="BF52" s="38">
        <f t="shared" si="47"/>
        <v>0</v>
      </c>
      <c r="BH52" s="38">
        <f t="shared" si="48"/>
        <v>0</v>
      </c>
      <c r="BI52" s="38">
        <f t="shared" si="49"/>
        <v>0</v>
      </c>
      <c r="BJ52" s="38">
        <f t="shared" si="50"/>
        <v>0</v>
      </c>
      <c r="BK52" s="38"/>
      <c r="BL52" s="38">
        <v>96</v>
      </c>
      <c r="BW52" s="38" t="str">
        <f t="shared" si="51"/>
        <v>21</v>
      </c>
      <c r="BX52" s="5" t="s">
        <v>171</v>
      </c>
    </row>
    <row r="53" spans="1:76" x14ac:dyDescent="0.25">
      <c r="A53" s="2" t="s">
        <v>172</v>
      </c>
      <c r="B53" s="3" t="s">
        <v>51</v>
      </c>
      <c r="C53" s="3" t="s">
        <v>173</v>
      </c>
      <c r="D53" s="106" t="s">
        <v>174</v>
      </c>
      <c r="E53" s="107"/>
      <c r="F53" s="3" t="s">
        <v>166</v>
      </c>
      <c r="G53" s="38">
        <v>18.629100000000001</v>
      </c>
      <c r="H53" s="98"/>
      <c r="I53" s="39" t="s">
        <v>59</v>
      </c>
      <c r="J53" s="38">
        <f t="shared" si="26"/>
        <v>0</v>
      </c>
      <c r="K53" s="38">
        <f t="shared" si="27"/>
        <v>0</v>
      </c>
      <c r="L53" s="38">
        <f t="shared" si="28"/>
        <v>0</v>
      </c>
      <c r="M53" s="38">
        <f t="shared" si="29"/>
        <v>0</v>
      </c>
      <c r="N53" s="38">
        <v>0</v>
      </c>
      <c r="O53" s="38">
        <f t="shared" si="30"/>
        <v>0</v>
      </c>
      <c r="P53" s="40" t="s">
        <v>60</v>
      </c>
      <c r="Z53" s="38">
        <f t="shared" si="31"/>
        <v>0</v>
      </c>
      <c r="AB53" s="38">
        <f t="shared" si="32"/>
        <v>0</v>
      </c>
      <c r="AC53" s="38">
        <f t="shared" si="33"/>
        <v>0</v>
      </c>
      <c r="AD53" s="38">
        <f t="shared" si="34"/>
        <v>0</v>
      </c>
      <c r="AE53" s="38">
        <f t="shared" si="35"/>
        <v>0</v>
      </c>
      <c r="AF53" s="38">
        <f t="shared" si="36"/>
        <v>0</v>
      </c>
      <c r="AG53" s="38">
        <f t="shared" si="37"/>
        <v>0</v>
      </c>
      <c r="AH53" s="38">
        <f t="shared" si="38"/>
        <v>0</v>
      </c>
      <c r="AI53" s="13" t="s">
        <v>51</v>
      </c>
      <c r="AJ53" s="38">
        <f t="shared" si="39"/>
        <v>0</v>
      </c>
      <c r="AK53" s="38">
        <f t="shared" si="40"/>
        <v>0</v>
      </c>
      <c r="AL53" s="38">
        <f t="shared" si="41"/>
        <v>0</v>
      </c>
      <c r="AN53" s="38">
        <v>21</v>
      </c>
      <c r="AO53" s="38">
        <f t="shared" si="52"/>
        <v>0</v>
      </c>
      <c r="AP53" s="38">
        <f t="shared" si="53"/>
        <v>0</v>
      </c>
      <c r="AQ53" s="39" t="s">
        <v>80</v>
      </c>
      <c r="AV53" s="38">
        <f t="shared" si="42"/>
        <v>0</v>
      </c>
      <c r="AW53" s="38">
        <f t="shared" si="43"/>
        <v>0</v>
      </c>
      <c r="AX53" s="38">
        <f t="shared" si="44"/>
        <v>0</v>
      </c>
      <c r="AY53" s="39" t="s">
        <v>76</v>
      </c>
      <c r="AZ53" s="39" t="s">
        <v>77</v>
      </c>
      <c r="BA53" s="13" t="s">
        <v>63</v>
      </c>
      <c r="BC53" s="38">
        <f t="shared" si="45"/>
        <v>0</v>
      </c>
      <c r="BD53" s="38">
        <f t="shared" si="46"/>
        <v>0</v>
      </c>
      <c r="BE53" s="38">
        <v>0</v>
      </c>
      <c r="BF53" s="38">
        <f t="shared" si="47"/>
        <v>0</v>
      </c>
      <c r="BH53" s="38">
        <f t="shared" si="48"/>
        <v>0</v>
      </c>
      <c r="BI53" s="38">
        <f t="shared" si="49"/>
        <v>0</v>
      </c>
      <c r="BJ53" s="38">
        <f t="shared" si="50"/>
        <v>0</v>
      </c>
      <c r="BK53" s="38"/>
      <c r="BL53" s="38">
        <v>96</v>
      </c>
      <c r="BW53" s="38" t="str">
        <f t="shared" si="51"/>
        <v>21</v>
      </c>
      <c r="BX53" s="5" t="s">
        <v>174</v>
      </c>
    </row>
    <row r="54" spans="1:76" x14ac:dyDescent="0.25">
      <c r="A54" s="2" t="s">
        <v>175</v>
      </c>
      <c r="B54" s="3" t="s">
        <v>51</v>
      </c>
      <c r="C54" s="3" t="s">
        <v>176</v>
      </c>
      <c r="D54" s="106" t="s">
        <v>177</v>
      </c>
      <c r="E54" s="107"/>
      <c r="F54" s="3" t="s">
        <v>166</v>
      </c>
      <c r="G54" s="38">
        <v>260.80739999999997</v>
      </c>
      <c r="H54" s="98"/>
      <c r="I54" s="39" t="s">
        <v>59</v>
      </c>
      <c r="J54" s="38">
        <f t="shared" si="26"/>
        <v>0</v>
      </c>
      <c r="K54" s="38">
        <f t="shared" si="27"/>
        <v>0</v>
      </c>
      <c r="L54" s="38">
        <f t="shared" si="28"/>
        <v>0</v>
      </c>
      <c r="M54" s="38">
        <f t="shared" si="29"/>
        <v>0</v>
      </c>
      <c r="N54" s="38">
        <v>0</v>
      </c>
      <c r="O54" s="38">
        <f t="shared" si="30"/>
        <v>0</v>
      </c>
      <c r="P54" s="40" t="s">
        <v>60</v>
      </c>
      <c r="Z54" s="38">
        <f t="shared" si="31"/>
        <v>0</v>
      </c>
      <c r="AB54" s="38">
        <f t="shared" si="32"/>
        <v>0</v>
      </c>
      <c r="AC54" s="38">
        <f t="shared" si="33"/>
        <v>0</v>
      </c>
      <c r="AD54" s="38">
        <f t="shared" si="34"/>
        <v>0</v>
      </c>
      <c r="AE54" s="38">
        <f t="shared" si="35"/>
        <v>0</v>
      </c>
      <c r="AF54" s="38">
        <f t="shared" si="36"/>
        <v>0</v>
      </c>
      <c r="AG54" s="38">
        <f t="shared" si="37"/>
        <v>0</v>
      </c>
      <c r="AH54" s="38">
        <f t="shared" si="38"/>
        <v>0</v>
      </c>
      <c r="AI54" s="13" t="s">
        <v>51</v>
      </c>
      <c r="AJ54" s="38">
        <f t="shared" si="39"/>
        <v>0</v>
      </c>
      <c r="AK54" s="38">
        <f t="shared" si="40"/>
        <v>0</v>
      </c>
      <c r="AL54" s="38">
        <f t="shared" si="41"/>
        <v>0</v>
      </c>
      <c r="AN54" s="38">
        <v>21</v>
      </c>
      <c r="AO54" s="38">
        <f t="shared" si="52"/>
        <v>0</v>
      </c>
      <c r="AP54" s="38">
        <f t="shared" si="53"/>
        <v>0</v>
      </c>
      <c r="AQ54" s="39" t="s">
        <v>80</v>
      </c>
      <c r="AV54" s="38">
        <f t="shared" si="42"/>
        <v>0</v>
      </c>
      <c r="AW54" s="38">
        <f t="shared" si="43"/>
        <v>0</v>
      </c>
      <c r="AX54" s="38">
        <f t="shared" si="44"/>
        <v>0</v>
      </c>
      <c r="AY54" s="39" t="s">
        <v>76</v>
      </c>
      <c r="AZ54" s="39" t="s">
        <v>77</v>
      </c>
      <c r="BA54" s="13" t="s">
        <v>63</v>
      </c>
      <c r="BC54" s="38">
        <f t="shared" si="45"/>
        <v>0</v>
      </c>
      <c r="BD54" s="38">
        <f t="shared" si="46"/>
        <v>0</v>
      </c>
      <c r="BE54" s="38">
        <v>0</v>
      </c>
      <c r="BF54" s="38">
        <f t="shared" si="47"/>
        <v>0</v>
      </c>
      <c r="BH54" s="38">
        <f t="shared" si="48"/>
        <v>0</v>
      </c>
      <c r="BI54" s="38">
        <f t="shared" si="49"/>
        <v>0</v>
      </c>
      <c r="BJ54" s="38">
        <f t="shared" si="50"/>
        <v>0</v>
      </c>
      <c r="BK54" s="38"/>
      <c r="BL54" s="38">
        <v>96</v>
      </c>
      <c r="BW54" s="38" t="str">
        <f t="shared" si="51"/>
        <v>21</v>
      </c>
      <c r="BX54" s="5" t="s">
        <v>177</v>
      </c>
    </row>
    <row r="55" spans="1:76" x14ac:dyDescent="0.25">
      <c r="A55" s="2" t="s">
        <v>178</v>
      </c>
      <c r="B55" s="3" t="s">
        <v>51</v>
      </c>
      <c r="C55" s="3" t="s">
        <v>179</v>
      </c>
      <c r="D55" s="106" t="s">
        <v>180</v>
      </c>
      <c r="E55" s="107"/>
      <c r="F55" s="3" t="s">
        <v>166</v>
      </c>
      <c r="G55" s="38">
        <v>1.0571900000000001</v>
      </c>
      <c r="H55" s="98"/>
      <c r="I55" s="39" t="s">
        <v>59</v>
      </c>
      <c r="J55" s="38">
        <f t="shared" si="26"/>
        <v>0</v>
      </c>
      <c r="K55" s="38">
        <f t="shared" si="27"/>
        <v>0</v>
      </c>
      <c r="L55" s="38">
        <f t="shared" si="28"/>
        <v>0</v>
      </c>
      <c r="M55" s="38">
        <f t="shared" si="29"/>
        <v>0</v>
      </c>
      <c r="N55" s="38">
        <v>0</v>
      </c>
      <c r="O55" s="38">
        <f t="shared" si="30"/>
        <v>0</v>
      </c>
      <c r="P55" s="40" t="s">
        <v>60</v>
      </c>
      <c r="Z55" s="38">
        <f t="shared" si="31"/>
        <v>0</v>
      </c>
      <c r="AB55" s="38">
        <f t="shared" si="32"/>
        <v>0</v>
      </c>
      <c r="AC55" s="38">
        <f t="shared" si="33"/>
        <v>0</v>
      </c>
      <c r="AD55" s="38">
        <f t="shared" si="34"/>
        <v>0</v>
      </c>
      <c r="AE55" s="38">
        <f t="shared" si="35"/>
        <v>0</v>
      </c>
      <c r="AF55" s="38">
        <f t="shared" si="36"/>
        <v>0</v>
      </c>
      <c r="AG55" s="38">
        <f t="shared" si="37"/>
        <v>0</v>
      </c>
      <c r="AH55" s="38">
        <f t="shared" si="38"/>
        <v>0</v>
      </c>
      <c r="AI55" s="13" t="s">
        <v>51</v>
      </c>
      <c r="AJ55" s="38">
        <f t="shared" si="39"/>
        <v>0</v>
      </c>
      <c r="AK55" s="38">
        <f t="shared" si="40"/>
        <v>0</v>
      </c>
      <c r="AL55" s="38">
        <f t="shared" si="41"/>
        <v>0</v>
      </c>
      <c r="AN55" s="38">
        <v>21</v>
      </c>
      <c r="AO55" s="38">
        <f t="shared" si="52"/>
        <v>0</v>
      </c>
      <c r="AP55" s="38">
        <f t="shared" si="53"/>
        <v>0</v>
      </c>
      <c r="AQ55" s="39" t="s">
        <v>80</v>
      </c>
      <c r="AV55" s="38">
        <f t="shared" si="42"/>
        <v>0</v>
      </c>
      <c r="AW55" s="38">
        <f t="shared" si="43"/>
        <v>0</v>
      </c>
      <c r="AX55" s="38">
        <f t="shared" si="44"/>
        <v>0</v>
      </c>
      <c r="AY55" s="39" t="s">
        <v>76</v>
      </c>
      <c r="AZ55" s="39" t="s">
        <v>77</v>
      </c>
      <c r="BA55" s="13" t="s">
        <v>63</v>
      </c>
      <c r="BC55" s="38">
        <f t="shared" si="45"/>
        <v>0</v>
      </c>
      <c r="BD55" s="38">
        <f t="shared" si="46"/>
        <v>0</v>
      </c>
      <c r="BE55" s="38">
        <v>0</v>
      </c>
      <c r="BF55" s="38">
        <f t="shared" si="47"/>
        <v>0</v>
      </c>
      <c r="BH55" s="38">
        <f t="shared" si="48"/>
        <v>0</v>
      </c>
      <c r="BI55" s="38">
        <f t="shared" si="49"/>
        <v>0</v>
      </c>
      <c r="BJ55" s="38">
        <f t="shared" si="50"/>
        <v>0</v>
      </c>
      <c r="BK55" s="38"/>
      <c r="BL55" s="38">
        <v>96</v>
      </c>
      <c r="BW55" s="38" t="str">
        <f t="shared" si="51"/>
        <v>21</v>
      </c>
      <c r="BX55" s="5" t="s">
        <v>180</v>
      </c>
    </row>
    <row r="56" spans="1:76" x14ac:dyDescent="0.25">
      <c r="A56" s="2" t="s">
        <v>181</v>
      </c>
      <c r="B56" s="3" t="s">
        <v>51</v>
      </c>
      <c r="C56" s="3" t="s">
        <v>182</v>
      </c>
      <c r="D56" s="106" t="s">
        <v>183</v>
      </c>
      <c r="E56" s="107"/>
      <c r="F56" s="3" t="s">
        <v>166</v>
      </c>
      <c r="G56" s="38">
        <v>5.0635500000000002</v>
      </c>
      <c r="H56" s="98"/>
      <c r="I56" s="39" t="s">
        <v>59</v>
      </c>
      <c r="J56" s="38">
        <f t="shared" si="26"/>
        <v>0</v>
      </c>
      <c r="K56" s="38">
        <f t="shared" si="27"/>
        <v>0</v>
      </c>
      <c r="L56" s="38">
        <f t="shared" si="28"/>
        <v>0</v>
      </c>
      <c r="M56" s="38">
        <f t="shared" si="29"/>
        <v>0</v>
      </c>
      <c r="N56" s="38">
        <v>0</v>
      </c>
      <c r="O56" s="38">
        <f t="shared" si="30"/>
        <v>0</v>
      </c>
      <c r="P56" s="40" t="s">
        <v>60</v>
      </c>
      <c r="Z56" s="38">
        <f t="shared" si="31"/>
        <v>0</v>
      </c>
      <c r="AB56" s="38">
        <f t="shared" si="32"/>
        <v>0</v>
      </c>
      <c r="AC56" s="38">
        <f t="shared" si="33"/>
        <v>0</v>
      </c>
      <c r="AD56" s="38">
        <f t="shared" si="34"/>
        <v>0</v>
      </c>
      <c r="AE56" s="38">
        <f t="shared" si="35"/>
        <v>0</v>
      </c>
      <c r="AF56" s="38">
        <f t="shared" si="36"/>
        <v>0</v>
      </c>
      <c r="AG56" s="38">
        <f t="shared" si="37"/>
        <v>0</v>
      </c>
      <c r="AH56" s="38">
        <f t="shared" si="38"/>
        <v>0</v>
      </c>
      <c r="AI56" s="13" t="s">
        <v>51</v>
      </c>
      <c r="AJ56" s="38">
        <f t="shared" si="39"/>
        <v>0</v>
      </c>
      <c r="AK56" s="38">
        <f t="shared" si="40"/>
        <v>0</v>
      </c>
      <c r="AL56" s="38">
        <f t="shared" si="41"/>
        <v>0</v>
      </c>
      <c r="AN56" s="38">
        <v>21</v>
      </c>
      <c r="AO56" s="38">
        <f t="shared" si="52"/>
        <v>0</v>
      </c>
      <c r="AP56" s="38">
        <f t="shared" si="53"/>
        <v>0</v>
      </c>
      <c r="AQ56" s="39" t="s">
        <v>80</v>
      </c>
      <c r="AV56" s="38">
        <f t="shared" si="42"/>
        <v>0</v>
      </c>
      <c r="AW56" s="38">
        <f t="shared" si="43"/>
        <v>0</v>
      </c>
      <c r="AX56" s="38">
        <f t="shared" si="44"/>
        <v>0</v>
      </c>
      <c r="AY56" s="39" t="s">
        <v>76</v>
      </c>
      <c r="AZ56" s="39" t="s">
        <v>77</v>
      </c>
      <c r="BA56" s="13" t="s">
        <v>63</v>
      </c>
      <c r="BC56" s="38">
        <f t="shared" si="45"/>
        <v>0</v>
      </c>
      <c r="BD56" s="38">
        <f t="shared" si="46"/>
        <v>0</v>
      </c>
      <c r="BE56" s="38">
        <v>0</v>
      </c>
      <c r="BF56" s="38">
        <f t="shared" si="47"/>
        <v>0</v>
      </c>
      <c r="BH56" s="38">
        <f t="shared" si="48"/>
        <v>0</v>
      </c>
      <c r="BI56" s="38">
        <f t="shared" si="49"/>
        <v>0</v>
      </c>
      <c r="BJ56" s="38">
        <f t="shared" si="50"/>
        <v>0</v>
      </c>
      <c r="BK56" s="38"/>
      <c r="BL56" s="38">
        <v>96</v>
      </c>
      <c r="BW56" s="38" t="str">
        <f t="shared" si="51"/>
        <v>21</v>
      </c>
      <c r="BX56" s="5" t="s">
        <v>183</v>
      </c>
    </row>
    <row r="57" spans="1:76" ht="25.5" x14ac:dyDescent="0.25">
      <c r="A57" s="2" t="s">
        <v>184</v>
      </c>
      <c r="B57" s="3" t="s">
        <v>51</v>
      </c>
      <c r="C57" s="3" t="s">
        <v>185</v>
      </c>
      <c r="D57" s="106" t="s">
        <v>186</v>
      </c>
      <c r="E57" s="107"/>
      <c r="F57" s="3" t="s">
        <v>166</v>
      </c>
      <c r="G57" s="38">
        <v>13.7483</v>
      </c>
      <c r="H57" s="98"/>
      <c r="I57" s="39" t="s">
        <v>59</v>
      </c>
      <c r="J57" s="38">
        <f t="shared" si="26"/>
        <v>0</v>
      </c>
      <c r="K57" s="38">
        <f t="shared" si="27"/>
        <v>0</v>
      </c>
      <c r="L57" s="38">
        <f t="shared" si="28"/>
        <v>0</v>
      </c>
      <c r="M57" s="38">
        <f t="shared" si="29"/>
        <v>0</v>
      </c>
      <c r="N57" s="38">
        <v>0</v>
      </c>
      <c r="O57" s="38">
        <f t="shared" si="30"/>
        <v>0</v>
      </c>
      <c r="P57" s="40" t="s">
        <v>60</v>
      </c>
      <c r="Z57" s="38">
        <f t="shared" si="31"/>
        <v>0</v>
      </c>
      <c r="AB57" s="38">
        <f t="shared" si="32"/>
        <v>0</v>
      </c>
      <c r="AC57" s="38">
        <f t="shared" si="33"/>
        <v>0</v>
      </c>
      <c r="AD57" s="38">
        <f t="shared" si="34"/>
        <v>0</v>
      </c>
      <c r="AE57" s="38">
        <f t="shared" si="35"/>
        <v>0</v>
      </c>
      <c r="AF57" s="38">
        <f t="shared" si="36"/>
        <v>0</v>
      </c>
      <c r="AG57" s="38">
        <f t="shared" si="37"/>
        <v>0</v>
      </c>
      <c r="AH57" s="38">
        <f t="shared" si="38"/>
        <v>0</v>
      </c>
      <c r="AI57" s="13" t="s">
        <v>51</v>
      </c>
      <c r="AJ57" s="38">
        <f t="shared" si="39"/>
        <v>0</v>
      </c>
      <c r="AK57" s="38">
        <f t="shared" si="40"/>
        <v>0</v>
      </c>
      <c r="AL57" s="38">
        <f t="shared" si="41"/>
        <v>0</v>
      </c>
      <c r="AN57" s="38">
        <v>21</v>
      </c>
      <c r="AO57" s="38">
        <f t="shared" si="52"/>
        <v>0</v>
      </c>
      <c r="AP57" s="38">
        <f t="shared" si="53"/>
        <v>0</v>
      </c>
      <c r="AQ57" s="39" t="s">
        <v>80</v>
      </c>
      <c r="AV57" s="38">
        <f t="shared" si="42"/>
        <v>0</v>
      </c>
      <c r="AW57" s="38">
        <f t="shared" si="43"/>
        <v>0</v>
      </c>
      <c r="AX57" s="38">
        <f t="shared" si="44"/>
        <v>0</v>
      </c>
      <c r="AY57" s="39" t="s">
        <v>76</v>
      </c>
      <c r="AZ57" s="39" t="s">
        <v>77</v>
      </c>
      <c r="BA57" s="13" t="s">
        <v>63</v>
      </c>
      <c r="BC57" s="38">
        <f t="shared" si="45"/>
        <v>0</v>
      </c>
      <c r="BD57" s="38">
        <f t="shared" si="46"/>
        <v>0</v>
      </c>
      <c r="BE57" s="38">
        <v>0</v>
      </c>
      <c r="BF57" s="38">
        <f t="shared" si="47"/>
        <v>0</v>
      </c>
      <c r="BH57" s="38">
        <f t="shared" si="48"/>
        <v>0</v>
      </c>
      <c r="BI57" s="38">
        <f t="shared" si="49"/>
        <v>0</v>
      </c>
      <c r="BJ57" s="38">
        <f t="shared" si="50"/>
        <v>0</v>
      </c>
      <c r="BK57" s="38"/>
      <c r="BL57" s="38">
        <v>96</v>
      </c>
      <c r="BW57" s="38" t="str">
        <f t="shared" si="51"/>
        <v>21</v>
      </c>
      <c r="BX57" s="5" t="s">
        <v>186</v>
      </c>
    </row>
    <row r="58" spans="1:76" x14ac:dyDescent="0.25">
      <c r="A58" s="2" t="s">
        <v>187</v>
      </c>
      <c r="B58" s="3" t="s">
        <v>51</v>
      </c>
      <c r="C58" s="3" t="s">
        <v>188</v>
      </c>
      <c r="D58" s="106" t="s">
        <v>189</v>
      </c>
      <c r="E58" s="107"/>
      <c r="F58" s="3" t="s">
        <v>166</v>
      </c>
      <c r="G58" s="38">
        <v>0.51532999999999995</v>
      </c>
      <c r="H58" s="98"/>
      <c r="I58" s="39" t="s">
        <v>59</v>
      </c>
      <c r="J58" s="38">
        <f t="shared" si="26"/>
        <v>0</v>
      </c>
      <c r="K58" s="38">
        <f t="shared" si="27"/>
        <v>0</v>
      </c>
      <c r="L58" s="38">
        <f t="shared" si="28"/>
        <v>0</v>
      </c>
      <c r="M58" s="38">
        <f t="shared" si="29"/>
        <v>0</v>
      </c>
      <c r="N58" s="38">
        <v>0</v>
      </c>
      <c r="O58" s="38">
        <f t="shared" si="30"/>
        <v>0</v>
      </c>
      <c r="P58" s="40" t="s">
        <v>60</v>
      </c>
      <c r="Z58" s="38">
        <f t="shared" si="31"/>
        <v>0</v>
      </c>
      <c r="AB58" s="38">
        <f t="shared" si="32"/>
        <v>0</v>
      </c>
      <c r="AC58" s="38">
        <f t="shared" si="33"/>
        <v>0</v>
      </c>
      <c r="AD58" s="38">
        <f t="shared" si="34"/>
        <v>0</v>
      </c>
      <c r="AE58" s="38">
        <f t="shared" si="35"/>
        <v>0</v>
      </c>
      <c r="AF58" s="38">
        <f t="shared" si="36"/>
        <v>0</v>
      </c>
      <c r="AG58" s="38">
        <f t="shared" si="37"/>
        <v>0</v>
      </c>
      <c r="AH58" s="38">
        <f t="shared" si="38"/>
        <v>0</v>
      </c>
      <c r="AI58" s="13" t="s">
        <v>51</v>
      </c>
      <c r="AJ58" s="38">
        <f t="shared" si="39"/>
        <v>0</v>
      </c>
      <c r="AK58" s="38">
        <f t="shared" si="40"/>
        <v>0</v>
      </c>
      <c r="AL58" s="38">
        <f t="shared" si="41"/>
        <v>0</v>
      </c>
      <c r="AN58" s="38">
        <v>21</v>
      </c>
      <c r="AO58" s="38">
        <f t="shared" si="52"/>
        <v>0</v>
      </c>
      <c r="AP58" s="38">
        <f t="shared" si="53"/>
        <v>0</v>
      </c>
      <c r="AQ58" s="39" t="s">
        <v>80</v>
      </c>
      <c r="AV58" s="38">
        <f t="shared" si="42"/>
        <v>0</v>
      </c>
      <c r="AW58" s="38">
        <f t="shared" si="43"/>
        <v>0</v>
      </c>
      <c r="AX58" s="38">
        <f t="shared" si="44"/>
        <v>0</v>
      </c>
      <c r="AY58" s="39" t="s">
        <v>76</v>
      </c>
      <c r="AZ58" s="39" t="s">
        <v>77</v>
      </c>
      <c r="BA58" s="13" t="s">
        <v>63</v>
      </c>
      <c r="BC58" s="38">
        <f t="shared" si="45"/>
        <v>0</v>
      </c>
      <c r="BD58" s="38">
        <f t="shared" si="46"/>
        <v>0</v>
      </c>
      <c r="BE58" s="38">
        <v>0</v>
      </c>
      <c r="BF58" s="38">
        <f t="shared" si="47"/>
        <v>0</v>
      </c>
      <c r="BH58" s="38">
        <f t="shared" si="48"/>
        <v>0</v>
      </c>
      <c r="BI58" s="38">
        <f t="shared" si="49"/>
        <v>0</v>
      </c>
      <c r="BJ58" s="38">
        <f t="shared" si="50"/>
        <v>0</v>
      </c>
      <c r="BK58" s="38"/>
      <c r="BL58" s="38">
        <v>96</v>
      </c>
      <c r="BW58" s="38" t="str">
        <f t="shared" si="51"/>
        <v>21</v>
      </c>
      <c r="BX58" s="5" t="s">
        <v>189</v>
      </c>
    </row>
    <row r="59" spans="1:76" x14ac:dyDescent="0.25">
      <c r="A59" s="33" t="s">
        <v>50</v>
      </c>
      <c r="B59" s="34" t="s">
        <v>51</v>
      </c>
      <c r="C59" s="34" t="s">
        <v>190</v>
      </c>
      <c r="D59" s="174" t="s">
        <v>191</v>
      </c>
      <c r="E59" s="175"/>
      <c r="F59" s="36" t="s">
        <v>4</v>
      </c>
      <c r="G59" s="36" t="s">
        <v>4</v>
      </c>
      <c r="H59" s="36" t="s">
        <v>4</v>
      </c>
      <c r="I59" s="36" t="s">
        <v>4</v>
      </c>
      <c r="J59" s="1">
        <f>SUM(J60:J88)</f>
        <v>0</v>
      </c>
      <c r="K59" s="1">
        <f>SUM(K60:K88)</f>
        <v>0</v>
      </c>
      <c r="L59" s="1">
        <f>SUM(L60:L88)</f>
        <v>0</v>
      </c>
      <c r="M59" s="1">
        <f>SUM(M60:M88)</f>
        <v>0</v>
      </c>
      <c r="N59" s="13" t="s">
        <v>50</v>
      </c>
      <c r="O59" s="1">
        <f>SUM(O60:O88)</f>
        <v>1.4695000000000003</v>
      </c>
      <c r="P59" s="37" t="s">
        <v>50</v>
      </c>
      <c r="AI59" s="13" t="s">
        <v>51</v>
      </c>
      <c r="AS59" s="1">
        <f>SUM(AJ60:AJ88)</f>
        <v>0</v>
      </c>
      <c r="AT59" s="1">
        <f>SUM(AK60:AK88)</f>
        <v>0</v>
      </c>
      <c r="AU59" s="1">
        <f>SUM(AL60:AL88)</f>
        <v>0</v>
      </c>
    </row>
    <row r="60" spans="1:76" x14ac:dyDescent="0.25">
      <c r="A60" s="2" t="s">
        <v>192</v>
      </c>
      <c r="B60" s="3" t="s">
        <v>51</v>
      </c>
      <c r="C60" s="3" t="s">
        <v>193</v>
      </c>
      <c r="D60" s="106" t="s">
        <v>194</v>
      </c>
      <c r="E60" s="107"/>
      <c r="F60" s="3" t="s">
        <v>140</v>
      </c>
      <c r="G60" s="38">
        <v>1</v>
      </c>
      <c r="H60" s="98"/>
      <c r="I60" s="39" t="s">
        <v>59</v>
      </c>
      <c r="J60" s="38">
        <f>G60*AO60</f>
        <v>0</v>
      </c>
      <c r="K60" s="38">
        <f>G60*AP60</f>
        <v>0</v>
      </c>
      <c r="L60" s="38">
        <f>G60*H60</f>
        <v>0</v>
      </c>
      <c r="M60" s="38">
        <f>L60*(1+BW60/100)</f>
        <v>0</v>
      </c>
      <c r="N60" s="38">
        <v>1.2999999999999999E-3</v>
      </c>
      <c r="O60" s="38">
        <f>G60*N60</f>
        <v>1.2999999999999999E-3</v>
      </c>
      <c r="P60" s="40" t="s">
        <v>60</v>
      </c>
      <c r="Z60" s="38">
        <f>IF(AQ60="5",BJ60,0)</f>
        <v>0</v>
      </c>
      <c r="AB60" s="38">
        <f>IF(AQ60="1",BH60,0)</f>
        <v>0</v>
      </c>
      <c r="AC60" s="38">
        <f>IF(AQ60="1",BI60,0)</f>
        <v>0</v>
      </c>
      <c r="AD60" s="38">
        <f>IF(AQ60="7",BH60,0)</f>
        <v>0</v>
      </c>
      <c r="AE60" s="38">
        <f>IF(AQ60="7",BI60,0)</f>
        <v>0</v>
      </c>
      <c r="AF60" s="38">
        <f>IF(AQ60="2",BH60,0)</f>
        <v>0</v>
      </c>
      <c r="AG60" s="38">
        <f>IF(AQ60="2",BI60,0)</f>
        <v>0</v>
      </c>
      <c r="AH60" s="38">
        <f>IF(AQ60="0",BJ60,0)</f>
        <v>0</v>
      </c>
      <c r="AI60" s="13" t="s">
        <v>51</v>
      </c>
      <c r="AJ60" s="38">
        <f>IF(AN60=0,L60,0)</f>
        <v>0</v>
      </c>
      <c r="AK60" s="38">
        <f>IF(AN60=12,L60,0)</f>
        <v>0</v>
      </c>
      <c r="AL60" s="38">
        <f>IF(AN60=21,L60,0)</f>
        <v>0</v>
      </c>
      <c r="AN60" s="38">
        <v>21</v>
      </c>
      <c r="AO60" s="38">
        <f>H60*0.864470284</f>
        <v>0</v>
      </c>
      <c r="AP60" s="38">
        <f>H60*(1-0.864470284)</f>
        <v>0</v>
      </c>
      <c r="AQ60" s="39" t="s">
        <v>55</v>
      </c>
      <c r="AV60" s="38">
        <f>AW60+AX60</f>
        <v>0</v>
      </c>
      <c r="AW60" s="38">
        <f>G60*AO60</f>
        <v>0</v>
      </c>
      <c r="AX60" s="38">
        <f>G60*AP60</f>
        <v>0</v>
      </c>
      <c r="AY60" s="39" t="s">
        <v>195</v>
      </c>
      <c r="AZ60" s="39" t="s">
        <v>77</v>
      </c>
      <c r="BA60" s="13" t="s">
        <v>63</v>
      </c>
      <c r="BC60" s="38">
        <f>AW60+AX60</f>
        <v>0</v>
      </c>
      <c r="BD60" s="38">
        <f>H60/(100-BE60)*100</f>
        <v>0</v>
      </c>
      <c r="BE60" s="38">
        <v>0</v>
      </c>
      <c r="BF60" s="38">
        <f>O60</f>
        <v>1.2999999999999999E-3</v>
      </c>
      <c r="BH60" s="38">
        <f>G60*AO60</f>
        <v>0</v>
      </c>
      <c r="BI60" s="38">
        <f>G60*AP60</f>
        <v>0</v>
      </c>
      <c r="BJ60" s="38">
        <f>G60*H60</f>
        <v>0</v>
      </c>
      <c r="BK60" s="38"/>
      <c r="BL60" s="38"/>
      <c r="BW60" s="38" t="str">
        <f>I60</f>
        <v>21</v>
      </c>
      <c r="BX60" s="5" t="s">
        <v>194</v>
      </c>
    </row>
    <row r="61" spans="1:76" x14ac:dyDescent="0.25">
      <c r="A61" s="2" t="s">
        <v>196</v>
      </c>
      <c r="B61" s="3" t="s">
        <v>51</v>
      </c>
      <c r="C61" s="3" t="s">
        <v>197</v>
      </c>
      <c r="D61" s="106" t="s">
        <v>198</v>
      </c>
      <c r="E61" s="107"/>
      <c r="F61" s="3" t="s">
        <v>140</v>
      </c>
      <c r="G61" s="38">
        <v>1</v>
      </c>
      <c r="H61" s="98"/>
      <c r="I61" s="39" t="s">
        <v>59</v>
      </c>
      <c r="J61" s="38">
        <f>G61*AO61</f>
        <v>0</v>
      </c>
      <c r="K61" s="38">
        <f>G61*AP61</f>
        <v>0</v>
      </c>
      <c r="L61" s="38">
        <f>G61*H61</f>
        <v>0</v>
      </c>
      <c r="M61" s="38">
        <f>L61*(1+BW61/100)</f>
        <v>0</v>
      </c>
      <c r="N61" s="38">
        <v>2.2000000000000001E-3</v>
      </c>
      <c r="O61" s="38">
        <f>G61*N61</f>
        <v>2.2000000000000001E-3</v>
      </c>
      <c r="P61" s="40" t="s">
        <v>60</v>
      </c>
      <c r="Z61" s="38">
        <f>IF(AQ61="5",BJ61,0)</f>
        <v>0</v>
      </c>
      <c r="AB61" s="38">
        <f>IF(AQ61="1",BH61,0)</f>
        <v>0</v>
      </c>
      <c r="AC61" s="38">
        <f>IF(AQ61="1",BI61,0)</f>
        <v>0</v>
      </c>
      <c r="AD61" s="38">
        <f>IF(AQ61="7",BH61,0)</f>
        <v>0</v>
      </c>
      <c r="AE61" s="38">
        <f>IF(AQ61="7",BI61,0)</f>
        <v>0</v>
      </c>
      <c r="AF61" s="38">
        <f>IF(AQ61="2",BH61,0)</f>
        <v>0</v>
      </c>
      <c r="AG61" s="38">
        <f>IF(AQ61="2",BI61,0)</f>
        <v>0</v>
      </c>
      <c r="AH61" s="38">
        <f>IF(AQ61="0",BJ61,0)</f>
        <v>0</v>
      </c>
      <c r="AI61" s="13" t="s">
        <v>51</v>
      </c>
      <c r="AJ61" s="38">
        <f>IF(AN61=0,L61,0)</f>
        <v>0</v>
      </c>
      <c r="AK61" s="38">
        <f>IF(AN61=12,L61,0)</f>
        <v>0</v>
      </c>
      <c r="AL61" s="38">
        <f>IF(AN61=21,L61,0)</f>
        <v>0</v>
      </c>
      <c r="AN61" s="38">
        <v>21</v>
      </c>
      <c r="AO61" s="38">
        <f>H61*0.923908661</f>
        <v>0</v>
      </c>
      <c r="AP61" s="38">
        <f>H61*(1-0.923908661)</f>
        <v>0</v>
      </c>
      <c r="AQ61" s="39" t="s">
        <v>55</v>
      </c>
      <c r="AV61" s="38">
        <f>AW61+AX61</f>
        <v>0</v>
      </c>
      <c r="AW61" s="38">
        <f>G61*AO61</f>
        <v>0</v>
      </c>
      <c r="AX61" s="38">
        <f>G61*AP61</f>
        <v>0</v>
      </c>
      <c r="AY61" s="39" t="s">
        <v>195</v>
      </c>
      <c r="AZ61" s="39" t="s">
        <v>77</v>
      </c>
      <c r="BA61" s="13" t="s">
        <v>63</v>
      </c>
      <c r="BC61" s="38">
        <f>AW61+AX61</f>
        <v>0</v>
      </c>
      <c r="BD61" s="38">
        <f>H61/(100-BE61)*100</f>
        <v>0</v>
      </c>
      <c r="BE61" s="38">
        <v>0</v>
      </c>
      <c r="BF61" s="38">
        <f>O61</f>
        <v>2.2000000000000001E-3</v>
      </c>
      <c r="BH61" s="38">
        <f>G61*AO61</f>
        <v>0</v>
      </c>
      <c r="BI61" s="38">
        <f>G61*AP61</f>
        <v>0</v>
      </c>
      <c r="BJ61" s="38">
        <f>G61*H61</f>
        <v>0</v>
      </c>
      <c r="BK61" s="38"/>
      <c r="BL61" s="38"/>
      <c r="BW61" s="38" t="str">
        <f>I61</f>
        <v>21</v>
      </c>
      <c r="BX61" s="5" t="s">
        <v>198</v>
      </c>
    </row>
    <row r="62" spans="1:76" x14ac:dyDescent="0.25">
      <c r="A62" s="2" t="s">
        <v>199</v>
      </c>
      <c r="B62" s="3" t="s">
        <v>51</v>
      </c>
      <c r="C62" s="3" t="s">
        <v>200</v>
      </c>
      <c r="D62" s="106" t="s">
        <v>201</v>
      </c>
      <c r="E62" s="107"/>
      <c r="F62" s="3" t="s">
        <v>140</v>
      </c>
      <c r="G62" s="38">
        <v>1</v>
      </c>
      <c r="H62" s="98"/>
      <c r="I62" s="39" t="s">
        <v>59</v>
      </c>
      <c r="J62" s="38">
        <f>G62*AO62</f>
        <v>0</v>
      </c>
      <c r="K62" s="38">
        <f>G62*AP62</f>
        <v>0</v>
      </c>
      <c r="L62" s="38">
        <f>G62*H62</f>
        <v>0</v>
      </c>
      <c r="M62" s="38">
        <f>L62*(1+BW62/100)</f>
        <v>0</v>
      </c>
      <c r="N62" s="38">
        <v>2E-3</v>
      </c>
      <c r="O62" s="38">
        <f>G62*N62</f>
        <v>2E-3</v>
      </c>
      <c r="P62" s="40" t="s">
        <v>60</v>
      </c>
      <c r="Z62" s="38">
        <f>IF(AQ62="5",BJ62,0)</f>
        <v>0</v>
      </c>
      <c r="AB62" s="38">
        <f>IF(AQ62="1",BH62,0)</f>
        <v>0</v>
      </c>
      <c r="AC62" s="38">
        <f>IF(AQ62="1",BI62,0)</f>
        <v>0</v>
      </c>
      <c r="AD62" s="38">
        <f>IF(AQ62="7",BH62,0)</f>
        <v>0</v>
      </c>
      <c r="AE62" s="38">
        <f>IF(AQ62="7",BI62,0)</f>
        <v>0</v>
      </c>
      <c r="AF62" s="38">
        <f>IF(AQ62="2",BH62,0)</f>
        <v>0</v>
      </c>
      <c r="AG62" s="38">
        <f>IF(AQ62="2",BI62,0)</f>
        <v>0</v>
      </c>
      <c r="AH62" s="38">
        <f>IF(AQ62="0",BJ62,0)</f>
        <v>0</v>
      </c>
      <c r="AI62" s="13" t="s">
        <v>51</v>
      </c>
      <c r="AJ62" s="38">
        <f>IF(AN62=0,L62,0)</f>
        <v>0</v>
      </c>
      <c r="AK62" s="38">
        <f>IF(AN62=12,L62,0)</f>
        <v>0</v>
      </c>
      <c r="AL62" s="38">
        <f>IF(AN62=21,L62,0)</f>
        <v>0</v>
      </c>
      <c r="AN62" s="38">
        <v>21</v>
      </c>
      <c r="AO62" s="38">
        <f>H62*0.909516854</f>
        <v>0</v>
      </c>
      <c r="AP62" s="38">
        <f>H62*(1-0.909516854)</f>
        <v>0</v>
      </c>
      <c r="AQ62" s="39" t="s">
        <v>55</v>
      </c>
      <c r="AV62" s="38">
        <f>AW62+AX62</f>
        <v>0</v>
      </c>
      <c r="AW62" s="38">
        <f>G62*AO62</f>
        <v>0</v>
      </c>
      <c r="AX62" s="38">
        <f>G62*AP62</f>
        <v>0</v>
      </c>
      <c r="AY62" s="39" t="s">
        <v>195</v>
      </c>
      <c r="AZ62" s="39" t="s">
        <v>77</v>
      </c>
      <c r="BA62" s="13" t="s">
        <v>63</v>
      </c>
      <c r="BC62" s="38">
        <f>AW62+AX62</f>
        <v>0</v>
      </c>
      <c r="BD62" s="38">
        <f>H62/(100-BE62)*100</f>
        <v>0</v>
      </c>
      <c r="BE62" s="38">
        <v>0</v>
      </c>
      <c r="BF62" s="38">
        <f>O62</f>
        <v>2E-3</v>
      </c>
      <c r="BH62" s="38">
        <f>G62*AO62</f>
        <v>0</v>
      </c>
      <c r="BI62" s="38">
        <f>G62*AP62</f>
        <v>0</v>
      </c>
      <c r="BJ62" s="38">
        <f>G62*H62</f>
        <v>0</v>
      </c>
      <c r="BK62" s="38"/>
      <c r="BL62" s="38"/>
      <c r="BW62" s="38" t="str">
        <f>I62</f>
        <v>21</v>
      </c>
      <c r="BX62" s="5" t="s">
        <v>201</v>
      </c>
    </row>
    <row r="63" spans="1:76" x14ac:dyDescent="0.25">
      <c r="A63" s="2" t="s">
        <v>202</v>
      </c>
      <c r="B63" s="3" t="s">
        <v>51</v>
      </c>
      <c r="C63" s="3" t="s">
        <v>203</v>
      </c>
      <c r="D63" s="106" t="s">
        <v>204</v>
      </c>
      <c r="E63" s="107"/>
      <c r="F63" s="3" t="s">
        <v>58</v>
      </c>
      <c r="G63" s="38">
        <v>10</v>
      </c>
      <c r="H63" s="98"/>
      <c r="I63" s="39" t="s">
        <v>59</v>
      </c>
      <c r="J63" s="38">
        <f>G63*AO63</f>
        <v>0</v>
      </c>
      <c r="K63" s="38">
        <f>G63*AP63</f>
        <v>0</v>
      </c>
      <c r="L63" s="38">
        <f>G63*H63</f>
        <v>0</v>
      </c>
      <c r="M63" s="38">
        <f>L63*(1+BW63/100)</f>
        <v>0</v>
      </c>
      <c r="N63" s="38">
        <v>1.4999999999999999E-2</v>
      </c>
      <c r="O63" s="38">
        <f>G63*N63</f>
        <v>0.15</v>
      </c>
      <c r="P63" s="40" t="s">
        <v>67</v>
      </c>
      <c r="Z63" s="38">
        <f>IF(AQ63="5",BJ63,0)</f>
        <v>0</v>
      </c>
      <c r="AB63" s="38">
        <f>IF(AQ63="1",BH63,0)</f>
        <v>0</v>
      </c>
      <c r="AC63" s="38">
        <f>IF(AQ63="1",BI63,0)</f>
        <v>0</v>
      </c>
      <c r="AD63" s="38">
        <f>IF(AQ63="7",BH63,0)</f>
        <v>0</v>
      </c>
      <c r="AE63" s="38">
        <f>IF(AQ63="7",BI63,0)</f>
        <v>0</v>
      </c>
      <c r="AF63" s="38">
        <f>IF(AQ63="2",BH63,0)</f>
        <v>0</v>
      </c>
      <c r="AG63" s="38">
        <f>IF(AQ63="2",BI63,0)</f>
        <v>0</v>
      </c>
      <c r="AH63" s="38">
        <f>IF(AQ63="0",BJ63,0)</f>
        <v>0</v>
      </c>
      <c r="AI63" s="13" t="s">
        <v>51</v>
      </c>
      <c r="AJ63" s="38">
        <f>IF(AN63=0,L63,0)</f>
        <v>0</v>
      </c>
      <c r="AK63" s="38">
        <f>IF(AN63=12,L63,0)</f>
        <v>0</v>
      </c>
      <c r="AL63" s="38">
        <f>IF(AN63=21,L63,0)</f>
        <v>0</v>
      </c>
      <c r="AN63" s="38">
        <v>21</v>
      </c>
      <c r="AO63" s="38">
        <f>H63*1</f>
        <v>0</v>
      </c>
      <c r="AP63" s="38">
        <f>H63*(1-1)</f>
        <v>0</v>
      </c>
      <c r="AQ63" s="39" t="s">
        <v>55</v>
      </c>
      <c r="AV63" s="38">
        <f>AW63+AX63</f>
        <v>0</v>
      </c>
      <c r="AW63" s="38">
        <f>G63*AO63</f>
        <v>0</v>
      </c>
      <c r="AX63" s="38">
        <f>G63*AP63</f>
        <v>0</v>
      </c>
      <c r="AY63" s="39" t="s">
        <v>195</v>
      </c>
      <c r="AZ63" s="39" t="s">
        <v>77</v>
      </c>
      <c r="BA63" s="13" t="s">
        <v>63</v>
      </c>
      <c r="BC63" s="38">
        <f>AW63+AX63</f>
        <v>0</v>
      </c>
      <c r="BD63" s="38">
        <f>H63/(100-BE63)*100</f>
        <v>0</v>
      </c>
      <c r="BE63" s="38">
        <v>0</v>
      </c>
      <c r="BF63" s="38">
        <f>O63</f>
        <v>0.15</v>
      </c>
      <c r="BH63" s="38">
        <f>G63*AO63</f>
        <v>0</v>
      </c>
      <c r="BI63" s="38">
        <f>G63*AP63</f>
        <v>0</v>
      </c>
      <c r="BJ63" s="38">
        <f>G63*H63</f>
        <v>0</v>
      </c>
      <c r="BK63" s="38"/>
      <c r="BL63" s="38"/>
      <c r="BW63" s="38" t="str">
        <f>I63</f>
        <v>21</v>
      </c>
      <c r="BX63" s="5" t="s">
        <v>204</v>
      </c>
    </row>
    <row r="64" spans="1:76" x14ac:dyDescent="0.25">
      <c r="A64" s="41"/>
      <c r="C64" s="42" t="s">
        <v>78</v>
      </c>
      <c r="D64" s="178" t="s">
        <v>205</v>
      </c>
      <c r="E64" s="179"/>
      <c r="F64" s="179"/>
      <c r="G64" s="179"/>
      <c r="H64" s="179"/>
      <c r="I64" s="179"/>
      <c r="J64" s="179"/>
      <c r="K64" s="179"/>
      <c r="L64" s="179"/>
      <c r="M64" s="179"/>
      <c r="N64" s="179"/>
      <c r="O64" s="179"/>
      <c r="P64" s="180"/>
      <c r="BX64" s="43" t="s">
        <v>205</v>
      </c>
    </row>
    <row r="65" spans="1:76" x14ac:dyDescent="0.25">
      <c r="A65" s="2" t="s">
        <v>206</v>
      </c>
      <c r="B65" s="3" t="s">
        <v>51</v>
      </c>
      <c r="C65" s="3" t="s">
        <v>207</v>
      </c>
      <c r="D65" s="106" t="s">
        <v>208</v>
      </c>
      <c r="E65" s="107"/>
      <c r="F65" s="3" t="s">
        <v>58</v>
      </c>
      <c r="G65" s="38">
        <v>10</v>
      </c>
      <c r="H65" s="98"/>
      <c r="I65" s="39" t="s">
        <v>59</v>
      </c>
      <c r="J65" s="38">
        <f>G65*AO65</f>
        <v>0</v>
      </c>
      <c r="K65" s="38">
        <f>G65*AP65</f>
        <v>0</v>
      </c>
      <c r="L65" s="38">
        <f>G65*H65</f>
        <v>0</v>
      </c>
      <c r="M65" s="38">
        <f>L65*(1+BW65/100)</f>
        <v>0</v>
      </c>
      <c r="N65" s="38">
        <v>1.4999999999999999E-2</v>
      </c>
      <c r="O65" s="38">
        <f>G65*N65</f>
        <v>0.15</v>
      </c>
      <c r="P65" s="40" t="s">
        <v>67</v>
      </c>
      <c r="Z65" s="38">
        <f>IF(AQ65="5",BJ65,0)</f>
        <v>0</v>
      </c>
      <c r="AB65" s="38">
        <f>IF(AQ65="1",BH65,0)</f>
        <v>0</v>
      </c>
      <c r="AC65" s="38">
        <f>IF(AQ65="1",BI65,0)</f>
        <v>0</v>
      </c>
      <c r="AD65" s="38">
        <f>IF(AQ65="7",BH65,0)</f>
        <v>0</v>
      </c>
      <c r="AE65" s="38">
        <f>IF(AQ65="7",BI65,0)</f>
        <v>0</v>
      </c>
      <c r="AF65" s="38">
        <f>IF(AQ65="2",BH65,0)</f>
        <v>0</v>
      </c>
      <c r="AG65" s="38">
        <f>IF(AQ65="2",BI65,0)</f>
        <v>0</v>
      </c>
      <c r="AH65" s="38">
        <f>IF(AQ65="0",BJ65,0)</f>
        <v>0</v>
      </c>
      <c r="AI65" s="13" t="s">
        <v>51</v>
      </c>
      <c r="AJ65" s="38">
        <f>IF(AN65=0,L65,0)</f>
        <v>0</v>
      </c>
      <c r="AK65" s="38">
        <f>IF(AN65=12,L65,0)</f>
        <v>0</v>
      </c>
      <c r="AL65" s="38">
        <f>IF(AN65=21,L65,0)</f>
        <v>0</v>
      </c>
      <c r="AN65" s="38">
        <v>21</v>
      </c>
      <c r="AO65" s="38">
        <f>H65*1</f>
        <v>0</v>
      </c>
      <c r="AP65" s="38">
        <f>H65*(1-1)</f>
        <v>0</v>
      </c>
      <c r="AQ65" s="39" t="s">
        <v>55</v>
      </c>
      <c r="AV65" s="38">
        <f>AW65+AX65</f>
        <v>0</v>
      </c>
      <c r="AW65" s="38">
        <f>G65*AO65</f>
        <v>0</v>
      </c>
      <c r="AX65" s="38">
        <f>G65*AP65</f>
        <v>0</v>
      </c>
      <c r="AY65" s="39" t="s">
        <v>195</v>
      </c>
      <c r="AZ65" s="39" t="s">
        <v>77</v>
      </c>
      <c r="BA65" s="13" t="s">
        <v>63</v>
      </c>
      <c r="BC65" s="38">
        <f>AW65+AX65</f>
        <v>0</v>
      </c>
      <c r="BD65" s="38">
        <f>H65/(100-BE65)*100</f>
        <v>0</v>
      </c>
      <c r="BE65" s="38">
        <v>0</v>
      </c>
      <c r="BF65" s="38">
        <f>O65</f>
        <v>0.15</v>
      </c>
      <c r="BH65" s="38">
        <f>G65*AO65</f>
        <v>0</v>
      </c>
      <c r="BI65" s="38">
        <f>G65*AP65</f>
        <v>0</v>
      </c>
      <c r="BJ65" s="38">
        <f>G65*H65</f>
        <v>0</v>
      </c>
      <c r="BK65" s="38"/>
      <c r="BL65" s="38"/>
      <c r="BW65" s="38" t="str">
        <f>I65</f>
        <v>21</v>
      </c>
      <c r="BX65" s="5" t="s">
        <v>208</v>
      </c>
    </row>
    <row r="66" spans="1:76" x14ac:dyDescent="0.25">
      <c r="A66" s="41"/>
      <c r="C66" s="42" t="s">
        <v>78</v>
      </c>
      <c r="D66" s="178" t="s">
        <v>205</v>
      </c>
      <c r="E66" s="179"/>
      <c r="F66" s="179"/>
      <c r="G66" s="179"/>
      <c r="H66" s="179"/>
      <c r="I66" s="179"/>
      <c r="J66" s="179"/>
      <c r="K66" s="179"/>
      <c r="L66" s="179"/>
      <c r="M66" s="179"/>
      <c r="N66" s="179"/>
      <c r="O66" s="179"/>
      <c r="P66" s="180"/>
      <c r="BX66" s="43" t="s">
        <v>205</v>
      </c>
    </row>
    <row r="67" spans="1:76" x14ac:dyDescent="0.25">
      <c r="A67" s="2" t="s">
        <v>209</v>
      </c>
      <c r="B67" s="3" t="s">
        <v>51</v>
      </c>
      <c r="C67" s="3" t="s">
        <v>210</v>
      </c>
      <c r="D67" s="106" t="s">
        <v>211</v>
      </c>
      <c r="E67" s="107"/>
      <c r="F67" s="3" t="s">
        <v>58</v>
      </c>
      <c r="G67" s="38">
        <v>7</v>
      </c>
      <c r="H67" s="98"/>
      <c r="I67" s="39" t="s">
        <v>59</v>
      </c>
      <c r="J67" s="38">
        <f>G67*AO67</f>
        <v>0</v>
      </c>
      <c r="K67" s="38">
        <f>G67*AP67</f>
        <v>0</v>
      </c>
      <c r="L67" s="38">
        <f>G67*H67</f>
        <v>0</v>
      </c>
      <c r="M67" s="38">
        <f>L67*(1+BW67/100)</f>
        <v>0</v>
      </c>
      <c r="N67" s="38">
        <v>3.0000000000000001E-3</v>
      </c>
      <c r="O67" s="38">
        <f>G67*N67</f>
        <v>2.1000000000000001E-2</v>
      </c>
      <c r="P67" s="40" t="s">
        <v>67</v>
      </c>
      <c r="Z67" s="38">
        <f>IF(AQ67="5",BJ67,0)</f>
        <v>0</v>
      </c>
      <c r="AB67" s="38">
        <f>IF(AQ67="1",BH67,0)</f>
        <v>0</v>
      </c>
      <c r="AC67" s="38">
        <f>IF(AQ67="1",BI67,0)</f>
        <v>0</v>
      </c>
      <c r="AD67" s="38">
        <f>IF(AQ67="7",BH67,0)</f>
        <v>0</v>
      </c>
      <c r="AE67" s="38">
        <f>IF(AQ67="7",BI67,0)</f>
        <v>0</v>
      </c>
      <c r="AF67" s="38">
        <f>IF(AQ67="2",BH67,0)</f>
        <v>0</v>
      </c>
      <c r="AG67" s="38">
        <f>IF(AQ67="2",BI67,0)</f>
        <v>0</v>
      </c>
      <c r="AH67" s="38">
        <f>IF(AQ67="0",BJ67,0)</f>
        <v>0</v>
      </c>
      <c r="AI67" s="13" t="s">
        <v>51</v>
      </c>
      <c r="AJ67" s="38">
        <f>IF(AN67=0,L67,0)</f>
        <v>0</v>
      </c>
      <c r="AK67" s="38">
        <f>IF(AN67=12,L67,0)</f>
        <v>0</v>
      </c>
      <c r="AL67" s="38">
        <f>IF(AN67=21,L67,0)</f>
        <v>0</v>
      </c>
      <c r="AN67" s="38">
        <v>21</v>
      </c>
      <c r="AO67" s="38">
        <f>H67*1</f>
        <v>0</v>
      </c>
      <c r="AP67" s="38">
        <f>H67*(1-1)</f>
        <v>0</v>
      </c>
      <c r="AQ67" s="39" t="s">
        <v>55</v>
      </c>
      <c r="AV67" s="38">
        <f>AW67+AX67</f>
        <v>0</v>
      </c>
      <c r="AW67" s="38">
        <f>G67*AO67</f>
        <v>0</v>
      </c>
      <c r="AX67" s="38">
        <f>G67*AP67</f>
        <v>0</v>
      </c>
      <c r="AY67" s="39" t="s">
        <v>195</v>
      </c>
      <c r="AZ67" s="39" t="s">
        <v>77</v>
      </c>
      <c r="BA67" s="13" t="s">
        <v>63</v>
      </c>
      <c r="BC67" s="38">
        <f>AW67+AX67</f>
        <v>0</v>
      </c>
      <c r="BD67" s="38">
        <f>H67/(100-BE67)*100</f>
        <v>0</v>
      </c>
      <c r="BE67" s="38">
        <v>0</v>
      </c>
      <c r="BF67" s="38">
        <f>O67</f>
        <v>2.1000000000000001E-2</v>
      </c>
      <c r="BH67" s="38">
        <f>G67*AO67</f>
        <v>0</v>
      </c>
      <c r="BI67" s="38">
        <f>G67*AP67</f>
        <v>0</v>
      </c>
      <c r="BJ67" s="38">
        <f>G67*H67</f>
        <v>0</v>
      </c>
      <c r="BK67" s="38"/>
      <c r="BL67" s="38"/>
      <c r="BW67" s="38" t="str">
        <f>I67</f>
        <v>21</v>
      </c>
      <c r="BX67" s="5" t="s">
        <v>211</v>
      </c>
    </row>
    <row r="68" spans="1:76" x14ac:dyDescent="0.25">
      <c r="A68" s="41"/>
      <c r="C68" s="42" t="s">
        <v>78</v>
      </c>
      <c r="D68" s="178" t="s">
        <v>205</v>
      </c>
      <c r="E68" s="179"/>
      <c r="F68" s="179"/>
      <c r="G68" s="179"/>
      <c r="H68" s="179"/>
      <c r="I68" s="179"/>
      <c r="J68" s="179"/>
      <c r="K68" s="179"/>
      <c r="L68" s="179"/>
      <c r="M68" s="179"/>
      <c r="N68" s="179"/>
      <c r="O68" s="179"/>
      <c r="P68" s="180"/>
      <c r="BX68" s="43" t="s">
        <v>205</v>
      </c>
    </row>
    <row r="69" spans="1:76" x14ac:dyDescent="0.25">
      <c r="A69" s="2" t="s">
        <v>212</v>
      </c>
      <c r="B69" s="3" t="s">
        <v>51</v>
      </c>
      <c r="C69" s="3" t="s">
        <v>213</v>
      </c>
      <c r="D69" s="106" t="s">
        <v>214</v>
      </c>
      <c r="E69" s="107"/>
      <c r="F69" s="3" t="s">
        <v>58</v>
      </c>
      <c r="G69" s="38">
        <v>8</v>
      </c>
      <c r="H69" s="98"/>
      <c r="I69" s="39" t="s">
        <v>59</v>
      </c>
      <c r="J69" s="38">
        <f>G69*AO69</f>
        <v>0</v>
      </c>
      <c r="K69" s="38">
        <f>G69*AP69</f>
        <v>0</v>
      </c>
      <c r="L69" s="38">
        <f>G69*H69</f>
        <v>0</v>
      </c>
      <c r="M69" s="38">
        <f>L69*(1+BW69/100)</f>
        <v>0</v>
      </c>
      <c r="N69" s="38">
        <v>0.03</v>
      </c>
      <c r="O69" s="38">
        <f>G69*N69</f>
        <v>0.24</v>
      </c>
      <c r="P69" s="40" t="s">
        <v>67</v>
      </c>
      <c r="Z69" s="38">
        <f>IF(AQ69="5",BJ69,0)</f>
        <v>0</v>
      </c>
      <c r="AB69" s="38">
        <f>IF(AQ69="1",BH69,0)</f>
        <v>0</v>
      </c>
      <c r="AC69" s="38">
        <f>IF(AQ69="1",BI69,0)</f>
        <v>0</v>
      </c>
      <c r="AD69" s="38">
        <f>IF(AQ69="7",BH69,0)</f>
        <v>0</v>
      </c>
      <c r="AE69" s="38">
        <f>IF(AQ69="7",BI69,0)</f>
        <v>0</v>
      </c>
      <c r="AF69" s="38">
        <f>IF(AQ69="2",BH69,0)</f>
        <v>0</v>
      </c>
      <c r="AG69" s="38">
        <f>IF(AQ69="2",BI69,0)</f>
        <v>0</v>
      </c>
      <c r="AH69" s="38">
        <f>IF(AQ69="0",BJ69,0)</f>
        <v>0</v>
      </c>
      <c r="AI69" s="13" t="s">
        <v>51</v>
      </c>
      <c r="AJ69" s="38">
        <f>IF(AN69=0,L69,0)</f>
        <v>0</v>
      </c>
      <c r="AK69" s="38">
        <f>IF(AN69=12,L69,0)</f>
        <v>0</v>
      </c>
      <c r="AL69" s="38">
        <f>IF(AN69=21,L69,0)</f>
        <v>0</v>
      </c>
      <c r="AN69" s="38">
        <v>21</v>
      </c>
      <c r="AO69" s="38">
        <f>H69*1</f>
        <v>0</v>
      </c>
      <c r="AP69" s="38">
        <f>H69*(1-1)</f>
        <v>0</v>
      </c>
      <c r="AQ69" s="39" t="s">
        <v>55</v>
      </c>
      <c r="AV69" s="38">
        <f>AW69+AX69</f>
        <v>0</v>
      </c>
      <c r="AW69" s="38">
        <f>G69*AO69</f>
        <v>0</v>
      </c>
      <c r="AX69" s="38">
        <f>G69*AP69</f>
        <v>0</v>
      </c>
      <c r="AY69" s="39" t="s">
        <v>195</v>
      </c>
      <c r="AZ69" s="39" t="s">
        <v>77</v>
      </c>
      <c r="BA69" s="13" t="s">
        <v>63</v>
      </c>
      <c r="BC69" s="38">
        <f>AW69+AX69</f>
        <v>0</v>
      </c>
      <c r="BD69" s="38">
        <f>H69/(100-BE69)*100</f>
        <v>0</v>
      </c>
      <c r="BE69" s="38">
        <v>0</v>
      </c>
      <c r="BF69" s="38">
        <f>O69</f>
        <v>0.24</v>
      </c>
      <c r="BH69" s="38">
        <f>G69*AO69</f>
        <v>0</v>
      </c>
      <c r="BI69" s="38">
        <f>G69*AP69</f>
        <v>0</v>
      </c>
      <c r="BJ69" s="38">
        <f>G69*H69</f>
        <v>0</v>
      </c>
      <c r="BK69" s="38"/>
      <c r="BL69" s="38"/>
      <c r="BW69" s="38" t="str">
        <f>I69</f>
        <v>21</v>
      </c>
      <c r="BX69" s="5" t="s">
        <v>214</v>
      </c>
    </row>
    <row r="70" spans="1:76" x14ac:dyDescent="0.25">
      <c r="A70" s="41"/>
      <c r="C70" s="42" t="s">
        <v>78</v>
      </c>
      <c r="D70" s="178" t="s">
        <v>205</v>
      </c>
      <c r="E70" s="179"/>
      <c r="F70" s="179"/>
      <c r="G70" s="179"/>
      <c r="H70" s="179"/>
      <c r="I70" s="179"/>
      <c r="J70" s="179"/>
      <c r="K70" s="179"/>
      <c r="L70" s="179"/>
      <c r="M70" s="179"/>
      <c r="N70" s="179"/>
      <c r="O70" s="179"/>
      <c r="P70" s="180"/>
      <c r="BX70" s="43" t="s">
        <v>205</v>
      </c>
    </row>
    <row r="71" spans="1:76" x14ac:dyDescent="0.25">
      <c r="A71" s="2" t="s">
        <v>215</v>
      </c>
      <c r="B71" s="3" t="s">
        <v>51</v>
      </c>
      <c r="C71" s="3" t="s">
        <v>216</v>
      </c>
      <c r="D71" s="106" t="s">
        <v>217</v>
      </c>
      <c r="E71" s="107"/>
      <c r="F71" s="3" t="s">
        <v>58</v>
      </c>
      <c r="G71" s="38">
        <v>3</v>
      </c>
      <c r="H71" s="98"/>
      <c r="I71" s="39" t="s">
        <v>59</v>
      </c>
      <c r="J71" s="38">
        <f>G71*AO71</f>
        <v>0</v>
      </c>
      <c r="K71" s="38">
        <f>G71*AP71</f>
        <v>0</v>
      </c>
      <c r="L71" s="38">
        <f>G71*H71</f>
        <v>0</v>
      </c>
      <c r="M71" s="38">
        <f>L71*(1+BW71/100)</f>
        <v>0</v>
      </c>
      <c r="N71" s="38">
        <v>1E-3</v>
      </c>
      <c r="O71" s="38">
        <f>G71*N71</f>
        <v>3.0000000000000001E-3</v>
      </c>
      <c r="P71" s="40" t="s">
        <v>67</v>
      </c>
      <c r="Z71" s="38">
        <f>IF(AQ71="5",BJ71,0)</f>
        <v>0</v>
      </c>
      <c r="AB71" s="38">
        <f>IF(AQ71="1",BH71,0)</f>
        <v>0</v>
      </c>
      <c r="AC71" s="38">
        <f>IF(AQ71="1",BI71,0)</f>
        <v>0</v>
      </c>
      <c r="AD71" s="38">
        <f>IF(AQ71="7",BH71,0)</f>
        <v>0</v>
      </c>
      <c r="AE71" s="38">
        <f>IF(AQ71="7",BI71,0)</f>
        <v>0</v>
      </c>
      <c r="AF71" s="38">
        <f>IF(AQ71="2",BH71,0)</f>
        <v>0</v>
      </c>
      <c r="AG71" s="38">
        <f>IF(AQ71="2",BI71,0)</f>
        <v>0</v>
      </c>
      <c r="AH71" s="38">
        <f>IF(AQ71="0",BJ71,0)</f>
        <v>0</v>
      </c>
      <c r="AI71" s="13" t="s">
        <v>51</v>
      </c>
      <c r="AJ71" s="38">
        <f>IF(AN71=0,L71,0)</f>
        <v>0</v>
      </c>
      <c r="AK71" s="38">
        <f>IF(AN71=12,L71,0)</f>
        <v>0</v>
      </c>
      <c r="AL71" s="38">
        <f>IF(AN71=21,L71,0)</f>
        <v>0</v>
      </c>
      <c r="AN71" s="38">
        <v>21</v>
      </c>
      <c r="AO71" s="38">
        <f>H71*1</f>
        <v>0</v>
      </c>
      <c r="AP71" s="38">
        <f>H71*(1-1)</f>
        <v>0</v>
      </c>
      <c r="AQ71" s="39" t="s">
        <v>55</v>
      </c>
      <c r="AV71" s="38">
        <f>AW71+AX71</f>
        <v>0</v>
      </c>
      <c r="AW71" s="38">
        <f>G71*AO71</f>
        <v>0</v>
      </c>
      <c r="AX71" s="38">
        <f>G71*AP71</f>
        <v>0</v>
      </c>
      <c r="AY71" s="39" t="s">
        <v>195</v>
      </c>
      <c r="AZ71" s="39" t="s">
        <v>77</v>
      </c>
      <c r="BA71" s="13" t="s">
        <v>63</v>
      </c>
      <c r="BC71" s="38">
        <f>AW71+AX71</f>
        <v>0</v>
      </c>
      <c r="BD71" s="38">
        <f>H71/(100-BE71)*100</f>
        <v>0</v>
      </c>
      <c r="BE71" s="38">
        <v>0</v>
      </c>
      <c r="BF71" s="38">
        <f>O71</f>
        <v>3.0000000000000001E-3</v>
      </c>
      <c r="BH71" s="38">
        <f>G71*AO71</f>
        <v>0</v>
      </c>
      <c r="BI71" s="38">
        <f>G71*AP71</f>
        <v>0</v>
      </c>
      <c r="BJ71" s="38">
        <f>G71*H71</f>
        <v>0</v>
      </c>
      <c r="BK71" s="38"/>
      <c r="BL71" s="38"/>
      <c r="BW71" s="38" t="str">
        <f>I71</f>
        <v>21</v>
      </c>
      <c r="BX71" s="5" t="s">
        <v>217</v>
      </c>
    </row>
    <row r="72" spans="1:76" x14ac:dyDescent="0.25">
      <c r="A72" s="41"/>
      <c r="C72" s="42" t="s">
        <v>78</v>
      </c>
      <c r="D72" s="178" t="s">
        <v>205</v>
      </c>
      <c r="E72" s="179"/>
      <c r="F72" s="179"/>
      <c r="G72" s="179"/>
      <c r="H72" s="179"/>
      <c r="I72" s="179"/>
      <c r="J72" s="179"/>
      <c r="K72" s="179"/>
      <c r="L72" s="179"/>
      <c r="M72" s="179"/>
      <c r="N72" s="179"/>
      <c r="O72" s="179"/>
      <c r="P72" s="180"/>
      <c r="BX72" s="43" t="s">
        <v>205</v>
      </c>
    </row>
    <row r="73" spans="1:76" x14ac:dyDescent="0.25">
      <c r="A73" s="2" t="s">
        <v>218</v>
      </c>
      <c r="B73" s="3" t="s">
        <v>51</v>
      </c>
      <c r="C73" s="3" t="s">
        <v>219</v>
      </c>
      <c r="D73" s="106" t="s">
        <v>220</v>
      </c>
      <c r="E73" s="107"/>
      <c r="F73" s="3" t="s">
        <v>58</v>
      </c>
      <c r="G73" s="38">
        <v>1</v>
      </c>
      <c r="H73" s="98"/>
      <c r="I73" s="39" t="s">
        <v>59</v>
      </c>
      <c r="J73" s="38">
        <f>G73*AO73</f>
        <v>0</v>
      </c>
      <c r="K73" s="38">
        <f>G73*AP73</f>
        <v>0</v>
      </c>
      <c r="L73" s="38">
        <f>G73*H73</f>
        <v>0</v>
      </c>
      <c r="M73" s="38">
        <f>L73*(1+BW73/100)</f>
        <v>0</v>
      </c>
      <c r="N73" s="38">
        <v>0.1</v>
      </c>
      <c r="O73" s="38">
        <f>G73*N73</f>
        <v>0.1</v>
      </c>
      <c r="P73" s="40" t="s">
        <v>67</v>
      </c>
      <c r="Z73" s="38">
        <f>IF(AQ73="5",BJ73,0)</f>
        <v>0</v>
      </c>
      <c r="AB73" s="38">
        <f>IF(AQ73="1",BH73,0)</f>
        <v>0</v>
      </c>
      <c r="AC73" s="38">
        <f>IF(AQ73="1",BI73,0)</f>
        <v>0</v>
      </c>
      <c r="AD73" s="38">
        <f>IF(AQ73="7",BH73,0)</f>
        <v>0</v>
      </c>
      <c r="AE73" s="38">
        <f>IF(AQ73="7",BI73,0)</f>
        <v>0</v>
      </c>
      <c r="AF73" s="38">
        <f>IF(AQ73="2",BH73,0)</f>
        <v>0</v>
      </c>
      <c r="AG73" s="38">
        <f>IF(AQ73="2",BI73,0)</f>
        <v>0</v>
      </c>
      <c r="AH73" s="38">
        <f>IF(AQ73="0",BJ73,0)</f>
        <v>0</v>
      </c>
      <c r="AI73" s="13" t="s">
        <v>51</v>
      </c>
      <c r="AJ73" s="38">
        <f>IF(AN73=0,L73,0)</f>
        <v>0</v>
      </c>
      <c r="AK73" s="38">
        <f>IF(AN73=12,L73,0)</f>
        <v>0</v>
      </c>
      <c r="AL73" s="38">
        <f>IF(AN73=21,L73,0)</f>
        <v>0</v>
      </c>
      <c r="AN73" s="38">
        <v>21</v>
      </c>
      <c r="AO73" s="38">
        <f>H73*1</f>
        <v>0</v>
      </c>
      <c r="AP73" s="38">
        <f>H73*(1-1)</f>
        <v>0</v>
      </c>
      <c r="AQ73" s="39" t="s">
        <v>55</v>
      </c>
      <c r="AV73" s="38">
        <f>AW73+AX73</f>
        <v>0</v>
      </c>
      <c r="AW73" s="38">
        <f>G73*AO73</f>
        <v>0</v>
      </c>
      <c r="AX73" s="38">
        <f>G73*AP73</f>
        <v>0</v>
      </c>
      <c r="AY73" s="39" t="s">
        <v>195</v>
      </c>
      <c r="AZ73" s="39" t="s">
        <v>77</v>
      </c>
      <c r="BA73" s="13" t="s">
        <v>63</v>
      </c>
      <c r="BC73" s="38">
        <f>AW73+AX73</f>
        <v>0</v>
      </c>
      <c r="BD73" s="38">
        <f>H73/(100-BE73)*100</f>
        <v>0</v>
      </c>
      <c r="BE73" s="38">
        <v>0</v>
      </c>
      <c r="BF73" s="38">
        <f>O73</f>
        <v>0.1</v>
      </c>
      <c r="BH73" s="38">
        <f>G73*AO73</f>
        <v>0</v>
      </c>
      <c r="BI73" s="38">
        <f>G73*AP73</f>
        <v>0</v>
      </c>
      <c r="BJ73" s="38">
        <f>G73*H73</f>
        <v>0</v>
      </c>
      <c r="BK73" s="38"/>
      <c r="BL73" s="38"/>
      <c r="BW73" s="38" t="str">
        <f>I73</f>
        <v>21</v>
      </c>
      <c r="BX73" s="5" t="s">
        <v>220</v>
      </c>
    </row>
    <row r="74" spans="1:76" x14ac:dyDescent="0.25">
      <c r="A74" s="41"/>
      <c r="C74" s="42" t="s">
        <v>78</v>
      </c>
      <c r="D74" s="178" t="s">
        <v>205</v>
      </c>
      <c r="E74" s="179"/>
      <c r="F74" s="179"/>
      <c r="G74" s="179"/>
      <c r="H74" s="179"/>
      <c r="I74" s="179"/>
      <c r="J74" s="179"/>
      <c r="K74" s="179"/>
      <c r="L74" s="179"/>
      <c r="M74" s="179"/>
      <c r="N74" s="179"/>
      <c r="O74" s="179"/>
      <c r="P74" s="180"/>
      <c r="BX74" s="43" t="s">
        <v>205</v>
      </c>
    </row>
    <row r="75" spans="1:76" x14ac:dyDescent="0.25">
      <c r="A75" s="2" t="s">
        <v>221</v>
      </c>
      <c r="B75" s="3" t="s">
        <v>51</v>
      </c>
      <c r="C75" s="3" t="s">
        <v>222</v>
      </c>
      <c r="D75" s="106" t="s">
        <v>223</v>
      </c>
      <c r="E75" s="107"/>
      <c r="F75" s="3" t="s">
        <v>58</v>
      </c>
      <c r="G75" s="38">
        <v>1</v>
      </c>
      <c r="H75" s="98"/>
      <c r="I75" s="39" t="s">
        <v>59</v>
      </c>
      <c r="J75" s="38">
        <f>G75*AO75</f>
        <v>0</v>
      </c>
      <c r="K75" s="38">
        <f>G75*AP75</f>
        <v>0</v>
      </c>
      <c r="L75" s="38">
        <f>G75*H75</f>
        <v>0</v>
      </c>
      <c r="M75" s="38">
        <f>L75*(1+BW75/100)</f>
        <v>0</v>
      </c>
      <c r="N75" s="38">
        <v>0.1</v>
      </c>
      <c r="O75" s="38">
        <f>G75*N75</f>
        <v>0.1</v>
      </c>
      <c r="P75" s="40" t="s">
        <v>67</v>
      </c>
      <c r="Z75" s="38">
        <f>IF(AQ75="5",BJ75,0)</f>
        <v>0</v>
      </c>
      <c r="AB75" s="38">
        <f>IF(AQ75="1",BH75,0)</f>
        <v>0</v>
      </c>
      <c r="AC75" s="38">
        <f>IF(AQ75="1",BI75,0)</f>
        <v>0</v>
      </c>
      <c r="AD75" s="38">
        <f>IF(AQ75="7",BH75,0)</f>
        <v>0</v>
      </c>
      <c r="AE75" s="38">
        <f>IF(AQ75="7",BI75,0)</f>
        <v>0</v>
      </c>
      <c r="AF75" s="38">
        <f>IF(AQ75="2",BH75,0)</f>
        <v>0</v>
      </c>
      <c r="AG75" s="38">
        <f>IF(AQ75="2",BI75,0)</f>
        <v>0</v>
      </c>
      <c r="AH75" s="38">
        <f>IF(AQ75="0",BJ75,0)</f>
        <v>0</v>
      </c>
      <c r="AI75" s="13" t="s">
        <v>51</v>
      </c>
      <c r="AJ75" s="38">
        <f>IF(AN75=0,L75,0)</f>
        <v>0</v>
      </c>
      <c r="AK75" s="38">
        <f>IF(AN75=12,L75,0)</f>
        <v>0</v>
      </c>
      <c r="AL75" s="38">
        <f>IF(AN75=21,L75,0)</f>
        <v>0</v>
      </c>
      <c r="AN75" s="38">
        <v>21</v>
      </c>
      <c r="AO75" s="38">
        <f>H75*1</f>
        <v>0</v>
      </c>
      <c r="AP75" s="38">
        <f>H75*(1-1)</f>
        <v>0</v>
      </c>
      <c r="AQ75" s="39" t="s">
        <v>55</v>
      </c>
      <c r="AV75" s="38">
        <f>AW75+AX75</f>
        <v>0</v>
      </c>
      <c r="AW75" s="38">
        <f>G75*AO75</f>
        <v>0</v>
      </c>
      <c r="AX75" s="38">
        <f>G75*AP75</f>
        <v>0</v>
      </c>
      <c r="AY75" s="39" t="s">
        <v>195</v>
      </c>
      <c r="AZ75" s="39" t="s">
        <v>77</v>
      </c>
      <c r="BA75" s="13" t="s">
        <v>63</v>
      </c>
      <c r="BC75" s="38">
        <f>AW75+AX75</f>
        <v>0</v>
      </c>
      <c r="BD75" s="38">
        <f>H75/(100-BE75)*100</f>
        <v>0</v>
      </c>
      <c r="BE75" s="38">
        <v>0</v>
      </c>
      <c r="BF75" s="38">
        <f>O75</f>
        <v>0.1</v>
      </c>
      <c r="BH75" s="38">
        <f>G75*AO75</f>
        <v>0</v>
      </c>
      <c r="BI75" s="38">
        <f>G75*AP75</f>
        <v>0</v>
      </c>
      <c r="BJ75" s="38">
        <f>G75*H75</f>
        <v>0</v>
      </c>
      <c r="BK75" s="38"/>
      <c r="BL75" s="38"/>
      <c r="BW75" s="38" t="str">
        <f>I75</f>
        <v>21</v>
      </c>
      <c r="BX75" s="5" t="s">
        <v>223</v>
      </c>
    </row>
    <row r="76" spans="1:76" x14ac:dyDescent="0.25">
      <c r="A76" s="41"/>
      <c r="C76" s="42" t="s">
        <v>78</v>
      </c>
      <c r="D76" s="178" t="s">
        <v>205</v>
      </c>
      <c r="E76" s="179"/>
      <c r="F76" s="179"/>
      <c r="G76" s="179"/>
      <c r="H76" s="179"/>
      <c r="I76" s="179"/>
      <c r="J76" s="179"/>
      <c r="K76" s="179"/>
      <c r="L76" s="179"/>
      <c r="M76" s="179"/>
      <c r="N76" s="179"/>
      <c r="O76" s="179"/>
      <c r="P76" s="180"/>
      <c r="BX76" s="43" t="s">
        <v>205</v>
      </c>
    </row>
    <row r="77" spans="1:76" x14ac:dyDescent="0.25">
      <c r="A77" s="2" t="s">
        <v>224</v>
      </c>
      <c r="B77" s="3" t="s">
        <v>51</v>
      </c>
      <c r="C77" s="3" t="s">
        <v>225</v>
      </c>
      <c r="D77" s="106" t="s">
        <v>226</v>
      </c>
      <c r="E77" s="107"/>
      <c r="F77" s="3" t="s">
        <v>58</v>
      </c>
      <c r="G77" s="38">
        <v>1</v>
      </c>
      <c r="H77" s="98"/>
      <c r="I77" s="39" t="s">
        <v>59</v>
      </c>
      <c r="J77" s="38">
        <f>G77*AO77</f>
        <v>0</v>
      </c>
      <c r="K77" s="38">
        <f>G77*AP77</f>
        <v>0</v>
      </c>
      <c r="L77" s="38">
        <f>G77*H77</f>
        <v>0</v>
      </c>
      <c r="M77" s="38">
        <f>L77*(1+BW77/100)</f>
        <v>0</v>
      </c>
      <c r="N77" s="38">
        <v>0.1</v>
      </c>
      <c r="O77" s="38">
        <f>G77*N77</f>
        <v>0.1</v>
      </c>
      <c r="P77" s="40" t="s">
        <v>67</v>
      </c>
      <c r="Z77" s="38">
        <f>IF(AQ77="5",BJ77,0)</f>
        <v>0</v>
      </c>
      <c r="AB77" s="38">
        <f>IF(AQ77="1",BH77,0)</f>
        <v>0</v>
      </c>
      <c r="AC77" s="38">
        <f>IF(AQ77="1",BI77,0)</f>
        <v>0</v>
      </c>
      <c r="AD77" s="38">
        <f>IF(AQ77="7",BH77,0)</f>
        <v>0</v>
      </c>
      <c r="AE77" s="38">
        <f>IF(AQ77="7",BI77,0)</f>
        <v>0</v>
      </c>
      <c r="AF77" s="38">
        <f>IF(AQ77="2",BH77,0)</f>
        <v>0</v>
      </c>
      <c r="AG77" s="38">
        <f>IF(AQ77="2",BI77,0)</f>
        <v>0</v>
      </c>
      <c r="AH77" s="38">
        <f>IF(AQ77="0",BJ77,0)</f>
        <v>0</v>
      </c>
      <c r="AI77" s="13" t="s">
        <v>51</v>
      </c>
      <c r="AJ77" s="38">
        <f>IF(AN77=0,L77,0)</f>
        <v>0</v>
      </c>
      <c r="AK77" s="38">
        <f>IF(AN77=12,L77,0)</f>
        <v>0</v>
      </c>
      <c r="AL77" s="38">
        <f>IF(AN77=21,L77,0)</f>
        <v>0</v>
      </c>
      <c r="AN77" s="38">
        <v>21</v>
      </c>
      <c r="AO77" s="38">
        <f>H77*1</f>
        <v>0</v>
      </c>
      <c r="AP77" s="38">
        <f>H77*(1-1)</f>
        <v>0</v>
      </c>
      <c r="AQ77" s="39" t="s">
        <v>55</v>
      </c>
      <c r="AV77" s="38">
        <f>AW77+AX77</f>
        <v>0</v>
      </c>
      <c r="AW77" s="38">
        <f>G77*AO77</f>
        <v>0</v>
      </c>
      <c r="AX77" s="38">
        <f>G77*AP77</f>
        <v>0</v>
      </c>
      <c r="AY77" s="39" t="s">
        <v>195</v>
      </c>
      <c r="AZ77" s="39" t="s">
        <v>77</v>
      </c>
      <c r="BA77" s="13" t="s">
        <v>63</v>
      </c>
      <c r="BC77" s="38">
        <f>AW77+AX77</f>
        <v>0</v>
      </c>
      <c r="BD77" s="38">
        <f>H77/(100-BE77)*100</f>
        <v>0</v>
      </c>
      <c r="BE77" s="38">
        <v>0</v>
      </c>
      <c r="BF77" s="38">
        <f>O77</f>
        <v>0.1</v>
      </c>
      <c r="BH77" s="38">
        <f>G77*AO77</f>
        <v>0</v>
      </c>
      <c r="BI77" s="38">
        <f>G77*AP77</f>
        <v>0</v>
      </c>
      <c r="BJ77" s="38">
        <f>G77*H77</f>
        <v>0</v>
      </c>
      <c r="BK77" s="38"/>
      <c r="BL77" s="38"/>
      <c r="BW77" s="38" t="str">
        <f>I77</f>
        <v>21</v>
      </c>
      <c r="BX77" s="5" t="s">
        <v>226</v>
      </c>
    </row>
    <row r="78" spans="1:76" x14ac:dyDescent="0.25">
      <c r="A78" s="41"/>
      <c r="C78" s="42" t="s">
        <v>78</v>
      </c>
      <c r="D78" s="178" t="s">
        <v>205</v>
      </c>
      <c r="E78" s="179"/>
      <c r="F78" s="179"/>
      <c r="G78" s="179"/>
      <c r="H78" s="179"/>
      <c r="I78" s="179"/>
      <c r="J78" s="179"/>
      <c r="K78" s="179"/>
      <c r="L78" s="179"/>
      <c r="M78" s="179"/>
      <c r="N78" s="179"/>
      <c r="O78" s="179"/>
      <c r="P78" s="180"/>
      <c r="BX78" s="43" t="s">
        <v>205</v>
      </c>
    </row>
    <row r="79" spans="1:76" x14ac:dyDescent="0.25">
      <c r="A79" s="2" t="s">
        <v>227</v>
      </c>
      <c r="B79" s="3" t="s">
        <v>51</v>
      </c>
      <c r="C79" s="3" t="s">
        <v>228</v>
      </c>
      <c r="D79" s="106" t="s">
        <v>229</v>
      </c>
      <c r="E79" s="107"/>
      <c r="F79" s="3" t="s">
        <v>58</v>
      </c>
      <c r="G79" s="38">
        <v>1</v>
      </c>
      <c r="H79" s="98"/>
      <c r="I79" s="39" t="s">
        <v>59</v>
      </c>
      <c r="J79" s="38">
        <f>G79*AO79</f>
        <v>0</v>
      </c>
      <c r="K79" s="38">
        <f>G79*AP79</f>
        <v>0</v>
      </c>
      <c r="L79" s="38">
        <f>G79*H79</f>
        <v>0</v>
      </c>
      <c r="M79" s="38">
        <f>L79*(1+BW79/100)</f>
        <v>0</v>
      </c>
      <c r="N79" s="38">
        <v>0.1</v>
      </c>
      <c r="O79" s="38">
        <f>G79*N79</f>
        <v>0.1</v>
      </c>
      <c r="P79" s="40" t="s">
        <v>67</v>
      </c>
      <c r="Z79" s="38">
        <f>IF(AQ79="5",BJ79,0)</f>
        <v>0</v>
      </c>
      <c r="AB79" s="38">
        <f>IF(AQ79="1",BH79,0)</f>
        <v>0</v>
      </c>
      <c r="AC79" s="38">
        <f>IF(AQ79="1",BI79,0)</f>
        <v>0</v>
      </c>
      <c r="AD79" s="38">
        <f>IF(AQ79="7",BH79,0)</f>
        <v>0</v>
      </c>
      <c r="AE79" s="38">
        <f>IF(AQ79="7",BI79,0)</f>
        <v>0</v>
      </c>
      <c r="AF79" s="38">
        <f>IF(AQ79="2",BH79,0)</f>
        <v>0</v>
      </c>
      <c r="AG79" s="38">
        <f>IF(AQ79="2",BI79,0)</f>
        <v>0</v>
      </c>
      <c r="AH79" s="38">
        <f>IF(AQ79="0",BJ79,0)</f>
        <v>0</v>
      </c>
      <c r="AI79" s="13" t="s">
        <v>51</v>
      </c>
      <c r="AJ79" s="38">
        <f>IF(AN79=0,L79,0)</f>
        <v>0</v>
      </c>
      <c r="AK79" s="38">
        <f>IF(AN79=12,L79,0)</f>
        <v>0</v>
      </c>
      <c r="AL79" s="38">
        <f>IF(AN79=21,L79,0)</f>
        <v>0</v>
      </c>
      <c r="AN79" s="38">
        <v>21</v>
      </c>
      <c r="AO79" s="38">
        <f>H79*1</f>
        <v>0</v>
      </c>
      <c r="AP79" s="38">
        <f>H79*(1-1)</f>
        <v>0</v>
      </c>
      <c r="AQ79" s="39" t="s">
        <v>55</v>
      </c>
      <c r="AV79" s="38">
        <f>AW79+AX79</f>
        <v>0</v>
      </c>
      <c r="AW79" s="38">
        <f>G79*AO79</f>
        <v>0</v>
      </c>
      <c r="AX79" s="38">
        <f>G79*AP79</f>
        <v>0</v>
      </c>
      <c r="AY79" s="39" t="s">
        <v>195</v>
      </c>
      <c r="AZ79" s="39" t="s">
        <v>77</v>
      </c>
      <c r="BA79" s="13" t="s">
        <v>63</v>
      </c>
      <c r="BC79" s="38">
        <f>AW79+AX79</f>
        <v>0</v>
      </c>
      <c r="BD79" s="38">
        <f>H79/(100-BE79)*100</f>
        <v>0</v>
      </c>
      <c r="BE79" s="38">
        <v>0</v>
      </c>
      <c r="BF79" s="38">
        <f>O79</f>
        <v>0.1</v>
      </c>
      <c r="BH79" s="38">
        <f>G79*AO79</f>
        <v>0</v>
      </c>
      <c r="BI79" s="38">
        <f>G79*AP79</f>
        <v>0</v>
      </c>
      <c r="BJ79" s="38">
        <f>G79*H79</f>
        <v>0</v>
      </c>
      <c r="BK79" s="38"/>
      <c r="BL79" s="38"/>
      <c r="BW79" s="38" t="str">
        <f>I79</f>
        <v>21</v>
      </c>
      <c r="BX79" s="5" t="s">
        <v>229</v>
      </c>
    </row>
    <row r="80" spans="1:76" x14ac:dyDescent="0.25">
      <c r="A80" s="41"/>
      <c r="C80" s="42" t="s">
        <v>78</v>
      </c>
      <c r="D80" s="178" t="s">
        <v>205</v>
      </c>
      <c r="E80" s="179"/>
      <c r="F80" s="179"/>
      <c r="G80" s="179"/>
      <c r="H80" s="179"/>
      <c r="I80" s="179"/>
      <c r="J80" s="179"/>
      <c r="K80" s="179"/>
      <c r="L80" s="179"/>
      <c r="M80" s="179"/>
      <c r="N80" s="179"/>
      <c r="O80" s="179"/>
      <c r="P80" s="180"/>
      <c r="BX80" s="43" t="s">
        <v>205</v>
      </c>
    </row>
    <row r="81" spans="1:76" x14ac:dyDescent="0.25">
      <c r="A81" s="2" t="s">
        <v>230</v>
      </c>
      <c r="B81" s="3" t="s">
        <v>51</v>
      </c>
      <c r="C81" s="3" t="s">
        <v>231</v>
      </c>
      <c r="D81" s="106" t="s">
        <v>232</v>
      </c>
      <c r="E81" s="107"/>
      <c r="F81" s="3" t="s">
        <v>58</v>
      </c>
      <c r="G81" s="38">
        <v>1</v>
      </c>
      <c r="H81" s="98"/>
      <c r="I81" s="39" t="s">
        <v>59</v>
      </c>
      <c r="J81" s="38">
        <f>G81*AO81</f>
        <v>0</v>
      </c>
      <c r="K81" s="38">
        <f>G81*AP81</f>
        <v>0</v>
      </c>
      <c r="L81" s="38">
        <f>G81*H81</f>
        <v>0</v>
      </c>
      <c r="M81" s="38">
        <f>L81*(1+BW81/100)</f>
        <v>0</v>
      </c>
      <c r="N81" s="38">
        <v>0.1</v>
      </c>
      <c r="O81" s="38">
        <f>G81*N81</f>
        <v>0.1</v>
      </c>
      <c r="P81" s="40" t="s">
        <v>67</v>
      </c>
      <c r="Z81" s="38">
        <f>IF(AQ81="5",BJ81,0)</f>
        <v>0</v>
      </c>
      <c r="AB81" s="38">
        <f>IF(AQ81="1",BH81,0)</f>
        <v>0</v>
      </c>
      <c r="AC81" s="38">
        <f>IF(AQ81="1",BI81,0)</f>
        <v>0</v>
      </c>
      <c r="AD81" s="38">
        <f>IF(AQ81="7",BH81,0)</f>
        <v>0</v>
      </c>
      <c r="AE81" s="38">
        <f>IF(AQ81="7",BI81,0)</f>
        <v>0</v>
      </c>
      <c r="AF81" s="38">
        <f>IF(AQ81="2",BH81,0)</f>
        <v>0</v>
      </c>
      <c r="AG81" s="38">
        <f>IF(AQ81="2",BI81,0)</f>
        <v>0</v>
      </c>
      <c r="AH81" s="38">
        <f>IF(AQ81="0",BJ81,0)</f>
        <v>0</v>
      </c>
      <c r="AI81" s="13" t="s">
        <v>51</v>
      </c>
      <c r="AJ81" s="38">
        <f>IF(AN81=0,L81,0)</f>
        <v>0</v>
      </c>
      <c r="AK81" s="38">
        <f>IF(AN81=12,L81,0)</f>
        <v>0</v>
      </c>
      <c r="AL81" s="38">
        <f>IF(AN81=21,L81,0)</f>
        <v>0</v>
      </c>
      <c r="AN81" s="38">
        <v>21</v>
      </c>
      <c r="AO81" s="38">
        <f>H81*1</f>
        <v>0</v>
      </c>
      <c r="AP81" s="38">
        <f>H81*(1-1)</f>
        <v>0</v>
      </c>
      <c r="AQ81" s="39" t="s">
        <v>55</v>
      </c>
      <c r="AV81" s="38">
        <f>AW81+AX81</f>
        <v>0</v>
      </c>
      <c r="AW81" s="38">
        <f>G81*AO81</f>
        <v>0</v>
      </c>
      <c r="AX81" s="38">
        <f>G81*AP81</f>
        <v>0</v>
      </c>
      <c r="AY81" s="39" t="s">
        <v>195</v>
      </c>
      <c r="AZ81" s="39" t="s">
        <v>77</v>
      </c>
      <c r="BA81" s="13" t="s">
        <v>63</v>
      </c>
      <c r="BC81" s="38">
        <f>AW81+AX81</f>
        <v>0</v>
      </c>
      <c r="BD81" s="38">
        <f>H81/(100-BE81)*100</f>
        <v>0</v>
      </c>
      <c r="BE81" s="38">
        <v>0</v>
      </c>
      <c r="BF81" s="38">
        <f>O81</f>
        <v>0.1</v>
      </c>
      <c r="BH81" s="38">
        <f>G81*AO81</f>
        <v>0</v>
      </c>
      <c r="BI81" s="38">
        <f>G81*AP81</f>
        <v>0</v>
      </c>
      <c r="BJ81" s="38">
        <f>G81*H81</f>
        <v>0</v>
      </c>
      <c r="BK81" s="38"/>
      <c r="BL81" s="38"/>
      <c r="BW81" s="38" t="str">
        <f>I81</f>
        <v>21</v>
      </c>
      <c r="BX81" s="5" t="s">
        <v>232</v>
      </c>
    </row>
    <row r="82" spans="1:76" x14ac:dyDescent="0.25">
      <c r="A82" s="41"/>
      <c r="C82" s="42" t="s">
        <v>78</v>
      </c>
      <c r="D82" s="178" t="s">
        <v>205</v>
      </c>
      <c r="E82" s="179"/>
      <c r="F82" s="179"/>
      <c r="G82" s="179"/>
      <c r="H82" s="179"/>
      <c r="I82" s="179"/>
      <c r="J82" s="179"/>
      <c r="K82" s="179"/>
      <c r="L82" s="179"/>
      <c r="M82" s="179"/>
      <c r="N82" s="179"/>
      <c r="O82" s="179"/>
      <c r="P82" s="180"/>
      <c r="BX82" s="43" t="s">
        <v>205</v>
      </c>
    </row>
    <row r="83" spans="1:76" x14ac:dyDescent="0.25">
      <c r="A83" s="2" t="s">
        <v>233</v>
      </c>
      <c r="B83" s="3" t="s">
        <v>51</v>
      </c>
      <c r="C83" s="3" t="s">
        <v>234</v>
      </c>
      <c r="D83" s="106" t="s">
        <v>235</v>
      </c>
      <c r="E83" s="107"/>
      <c r="F83" s="3" t="s">
        <v>58</v>
      </c>
      <c r="G83" s="38">
        <v>1</v>
      </c>
      <c r="H83" s="98"/>
      <c r="I83" s="39" t="s">
        <v>59</v>
      </c>
      <c r="J83" s="38">
        <f>G83*AO83</f>
        <v>0</v>
      </c>
      <c r="K83" s="38">
        <f>G83*AP83</f>
        <v>0</v>
      </c>
      <c r="L83" s="38">
        <f>G83*H83</f>
        <v>0</v>
      </c>
      <c r="M83" s="38">
        <f>L83*(1+BW83/100)</f>
        <v>0</v>
      </c>
      <c r="N83" s="38">
        <v>0.1</v>
      </c>
      <c r="O83" s="38">
        <f>G83*N83</f>
        <v>0.1</v>
      </c>
      <c r="P83" s="40" t="s">
        <v>67</v>
      </c>
      <c r="Z83" s="38">
        <f>IF(AQ83="5",BJ83,0)</f>
        <v>0</v>
      </c>
      <c r="AB83" s="38">
        <f>IF(AQ83="1",BH83,0)</f>
        <v>0</v>
      </c>
      <c r="AC83" s="38">
        <f>IF(AQ83="1",BI83,0)</f>
        <v>0</v>
      </c>
      <c r="AD83" s="38">
        <f>IF(AQ83="7",BH83,0)</f>
        <v>0</v>
      </c>
      <c r="AE83" s="38">
        <f>IF(AQ83="7",BI83,0)</f>
        <v>0</v>
      </c>
      <c r="AF83" s="38">
        <f>IF(AQ83="2",BH83,0)</f>
        <v>0</v>
      </c>
      <c r="AG83" s="38">
        <f>IF(AQ83="2",BI83,0)</f>
        <v>0</v>
      </c>
      <c r="AH83" s="38">
        <f>IF(AQ83="0",BJ83,0)</f>
        <v>0</v>
      </c>
      <c r="AI83" s="13" t="s">
        <v>51</v>
      </c>
      <c r="AJ83" s="38">
        <f>IF(AN83=0,L83,0)</f>
        <v>0</v>
      </c>
      <c r="AK83" s="38">
        <f>IF(AN83=12,L83,0)</f>
        <v>0</v>
      </c>
      <c r="AL83" s="38">
        <f>IF(AN83=21,L83,0)</f>
        <v>0</v>
      </c>
      <c r="AN83" s="38">
        <v>21</v>
      </c>
      <c r="AO83" s="38">
        <f>H83*1</f>
        <v>0</v>
      </c>
      <c r="AP83" s="38">
        <f>H83*(1-1)</f>
        <v>0</v>
      </c>
      <c r="AQ83" s="39" t="s">
        <v>55</v>
      </c>
      <c r="AV83" s="38">
        <f>AW83+AX83</f>
        <v>0</v>
      </c>
      <c r="AW83" s="38">
        <f>G83*AO83</f>
        <v>0</v>
      </c>
      <c r="AX83" s="38">
        <f>G83*AP83</f>
        <v>0</v>
      </c>
      <c r="AY83" s="39" t="s">
        <v>195</v>
      </c>
      <c r="AZ83" s="39" t="s">
        <v>77</v>
      </c>
      <c r="BA83" s="13" t="s">
        <v>63</v>
      </c>
      <c r="BC83" s="38">
        <f>AW83+AX83</f>
        <v>0</v>
      </c>
      <c r="BD83" s="38">
        <f>H83/(100-BE83)*100</f>
        <v>0</v>
      </c>
      <c r="BE83" s="38">
        <v>0</v>
      </c>
      <c r="BF83" s="38">
        <f>O83</f>
        <v>0.1</v>
      </c>
      <c r="BH83" s="38">
        <f>G83*AO83</f>
        <v>0</v>
      </c>
      <c r="BI83" s="38">
        <f>G83*AP83</f>
        <v>0</v>
      </c>
      <c r="BJ83" s="38">
        <f>G83*H83</f>
        <v>0</v>
      </c>
      <c r="BK83" s="38"/>
      <c r="BL83" s="38"/>
      <c r="BW83" s="38" t="str">
        <f>I83</f>
        <v>21</v>
      </c>
      <c r="BX83" s="5" t="s">
        <v>235</v>
      </c>
    </row>
    <row r="84" spans="1:76" x14ac:dyDescent="0.25">
      <c r="A84" s="41"/>
      <c r="C84" s="42" t="s">
        <v>78</v>
      </c>
      <c r="D84" s="178" t="s">
        <v>205</v>
      </c>
      <c r="E84" s="179"/>
      <c r="F84" s="179"/>
      <c r="G84" s="179"/>
      <c r="H84" s="179"/>
      <c r="I84" s="179"/>
      <c r="J84" s="179"/>
      <c r="K84" s="179"/>
      <c r="L84" s="179"/>
      <c r="M84" s="179"/>
      <c r="N84" s="179"/>
      <c r="O84" s="179"/>
      <c r="P84" s="180"/>
      <c r="BX84" s="43" t="s">
        <v>205</v>
      </c>
    </row>
    <row r="85" spans="1:76" x14ac:dyDescent="0.25">
      <c r="A85" s="2" t="s">
        <v>236</v>
      </c>
      <c r="B85" s="3" t="s">
        <v>51</v>
      </c>
      <c r="C85" s="3" t="s">
        <v>237</v>
      </c>
      <c r="D85" s="106" t="s">
        <v>238</v>
      </c>
      <c r="E85" s="107"/>
      <c r="F85" s="3" t="s">
        <v>58</v>
      </c>
      <c r="G85" s="38">
        <v>1</v>
      </c>
      <c r="H85" s="98"/>
      <c r="I85" s="39" t="s">
        <v>59</v>
      </c>
      <c r="J85" s="38">
        <f>G85*AO85</f>
        <v>0</v>
      </c>
      <c r="K85" s="38">
        <f>G85*AP85</f>
        <v>0</v>
      </c>
      <c r="L85" s="38">
        <f>G85*H85</f>
        <v>0</v>
      </c>
      <c r="M85" s="38">
        <f>L85*(1+BW85/100)</f>
        <v>0</v>
      </c>
      <c r="N85" s="38">
        <v>0.1</v>
      </c>
      <c r="O85" s="38">
        <f>G85*N85</f>
        <v>0.1</v>
      </c>
      <c r="P85" s="40" t="s">
        <v>67</v>
      </c>
      <c r="Z85" s="38">
        <f>IF(AQ85="5",BJ85,0)</f>
        <v>0</v>
      </c>
      <c r="AB85" s="38">
        <f>IF(AQ85="1",BH85,0)</f>
        <v>0</v>
      </c>
      <c r="AC85" s="38">
        <f>IF(AQ85="1",BI85,0)</f>
        <v>0</v>
      </c>
      <c r="AD85" s="38">
        <f>IF(AQ85="7",BH85,0)</f>
        <v>0</v>
      </c>
      <c r="AE85" s="38">
        <f>IF(AQ85="7",BI85,0)</f>
        <v>0</v>
      </c>
      <c r="AF85" s="38">
        <f>IF(AQ85="2",BH85,0)</f>
        <v>0</v>
      </c>
      <c r="AG85" s="38">
        <f>IF(AQ85="2",BI85,0)</f>
        <v>0</v>
      </c>
      <c r="AH85" s="38">
        <f>IF(AQ85="0",BJ85,0)</f>
        <v>0</v>
      </c>
      <c r="AI85" s="13" t="s">
        <v>51</v>
      </c>
      <c r="AJ85" s="38">
        <f>IF(AN85=0,L85,0)</f>
        <v>0</v>
      </c>
      <c r="AK85" s="38">
        <f>IF(AN85=12,L85,0)</f>
        <v>0</v>
      </c>
      <c r="AL85" s="38">
        <f>IF(AN85=21,L85,0)</f>
        <v>0</v>
      </c>
      <c r="AN85" s="38">
        <v>21</v>
      </c>
      <c r="AO85" s="38">
        <f>H85*1</f>
        <v>0</v>
      </c>
      <c r="AP85" s="38">
        <f>H85*(1-1)</f>
        <v>0</v>
      </c>
      <c r="AQ85" s="39" t="s">
        <v>55</v>
      </c>
      <c r="AV85" s="38">
        <f>AW85+AX85</f>
        <v>0</v>
      </c>
      <c r="AW85" s="38">
        <f>G85*AO85</f>
        <v>0</v>
      </c>
      <c r="AX85" s="38">
        <f>G85*AP85</f>
        <v>0</v>
      </c>
      <c r="AY85" s="39" t="s">
        <v>195</v>
      </c>
      <c r="AZ85" s="39" t="s">
        <v>77</v>
      </c>
      <c r="BA85" s="13" t="s">
        <v>63</v>
      </c>
      <c r="BC85" s="38">
        <f>AW85+AX85</f>
        <v>0</v>
      </c>
      <c r="BD85" s="38">
        <f>H85/(100-BE85)*100</f>
        <v>0</v>
      </c>
      <c r="BE85" s="38">
        <v>0</v>
      </c>
      <c r="BF85" s="38">
        <f>O85</f>
        <v>0.1</v>
      </c>
      <c r="BH85" s="38">
        <f>G85*AO85</f>
        <v>0</v>
      </c>
      <c r="BI85" s="38">
        <f>G85*AP85</f>
        <v>0</v>
      </c>
      <c r="BJ85" s="38">
        <f>G85*H85</f>
        <v>0</v>
      </c>
      <c r="BK85" s="38"/>
      <c r="BL85" s="38"/>
      <c r="BW85" s="38" t="str">
        <f>I85</f>
        <v>21</v>
      </c>
      <c r="BX85" s="5" t="s">
        <v>238</v>
      </c>
    </row>
    <row r="86" spans="1:76" x14ac:dyDescent="0.25">
      <c r="A86" s="2" t="s">
        <v>239</v>
      </c>
      <c r="B86" s="3" t="s">
        <v>51</v>
      </c>
      <c r="C86" s="3" t="s">
        <v>237</v>
      </c>
      <c r="D86" s="106" t="s">
        <v>240</v>
      </c>
      <c r="E86" s="107"/>
      <c r="F86" s="3" t="s">
        <v>58</v>
      </c>
      <c r="G86" s="38">
        <v>1</v>
      </c>
      <c r="H86" s="98"/>
      <c r="I86" s="39" t="s">
        <v>59</v>
      </c>
      <c r="J86" s="38">
        <f>G86*AO86</f>
        <v>0</v>
      </c>
      <c r="K86" s="38">
        <f>G86*AP86</f>
        <v>0</v>
      </c>
      <c r="L86" s="38">
        <f>G86*H86</f>
        <v>0</v>
      </c>
      <c r="M86" s="38">
        <f>L86*(1+BW86/100)</f>
        <v>0</v>
      </c>
      <c r="N86" s="38">
        <v>0.1</v>
      </c>
      <c r="O86" s="38">
        <f>G86*N86</f>
        <v>0.1</v>
      </c>
      <c r="P86" s="40" t="s">
        <v>67</v>
      </c>
      <c r="Z86" s="38">
        <f>IF(AQ86="5",BJ86,0)</f>
        <v>0</v>
      </c>
      <c r="AB86" s="38">
        <f>IF(AQ86="1",BH86,0)</f>
        <v>0</v>
      </c>
      <c r="AC86" s="38">
        <f>IF(AQ86="1",BI86,0)</f>
        <v>0</v>
      </c>
      <c r="AD86" s="38">
        <f>IF(AQ86="7",BH86,0)</f>
        <v>0</v>
      </c>
      <c r="AE86" s="38">
        <f>IF(AQ86="7",BI86,0)</f>
        <v>0</v>
      </c>
      <c r="AF86" s="38">
        <f>IF(AQ86="2",BH86,0)</f>
        <v>0</v>
      </c>
      <c r="AG86" s="38">
        <f>IF(AQ86="2",BI86,0)</f>
        <v>0</v>
      </c>
      <c r="AH86" s="38">
        <f>IF(AQ86="0",BJ86,0)</f>
        <v>0</v>
      </c>
      <c r="AI86" s="13" t="s">
        <v>51</v>
      </c>
      <c r="AJ86" s="38">
        <f>IF(AN86=0,L86,0)</f>
        <v>0</v>
      </c>
      <c r="AK86" s="38">
        <f>IF(AN86=12,L86,0)</f>
        <v>0</v>
      </c>
      <c r="AL86" s="38">
        <f>IF(AN86=21,L86,0)</f>
        <v>0</v>
      </c>
      <c r="AN86" s="38">
        <v>21</v>
      </c>
      <c r="AO86" s="38">
        <f>H86*1</f>
        <v>0</v>
      </c>
      <c r="AP86" s="38">
        <f>H86*(1-1)</f>
        <v>0</v>
      </c>
      <c r="AQ86" s="39" t="s">
        <v>55</v>
      </c>
      <c r="AV86" s="38">
        <f>AW86+AX86</f>
        <v>0</v>
      </c>
      <c r="AW86" s="38">
        <f>G86*AO86</f>
        <v>0</v>
      </c>
      <c r="AX86" s="38">
        <f>G86*AP86</f>
        <v>0</v>
      </c>
      <c r="AY86" s="39" t="s">
        <v>195</v>
      </c>
      <c r="AZ86" s="39" t="s">
        <v>77</v>
      </c>
      <c r="BA86" s="13" t="s">
        <v>63</v>
      </c>
      <c r="BC86" s="38">
        <f>AW86+AX86</f>
        <v>0</v>
      </c>
      <c r="BD86" s="38">
        <f>H86/(100-BE86)*100</f>
        <v>0</v>
      </c>
      <c r="BE86" s="38">
        <v>0</v>
      </c>
      <c r="BF86" s="38">
        <f>O86</f>
        <v>0.1</v>
      </c>
      <c r="BH86" s="38">
        <f>G86*AO86</f>
        <v>0</v>
      </c>
      <c r="BI86" s="38">
        <f>G86*AP86</f>
        <v>0</v>
      </c>
      <c r="BJ86" s="38">
        <f>G86*H86</f>
        <v>0</v>
      </c>
      <c r="BK86" s="38"/>
      <c r="BL86" s="38"/>
      <c r="BW86" s="38" t="str">
        <f>I86</f>
        <v>21</v>
      </c>
      <c r="BX86" s="5" t="s">
        <v>240</v>
      </c>
    </row>
    <row r="87" spans="1:76" x14ac:dyDescent="0.25">
      <c r="A87" s="41"/>
      <c r="C87" s="42" t="s">
        <v>78</v>
      </c>
      <c r="D87" s="178" t="s">
        <v>205</v>
      </c>
      <c r="E87" s="179"/>
      <c r="F87" s="179"/>
      <c r="G87" s="179"/>
      <c r="H87" s="179"/>
      <c r="I87" s="179"/>
      <c r="J87" s="179"/>
      <c r="K87" s="179"/>
      <c r="L87" s="179"/>
      <c r="M87" s="179"/>
      <c r="N87" s="179"/>
      <c r="O87" s="179"/>
      <c r="P87" s="180"/>
      <c r="BX87" s="43" t="s">
        <v>205</v>
      </c>
    </row>
    <row r="88" spans="1:76" x14ac:dyDescent="0.25">
      <c r="A88" s="2" t="s">
        <v>241</v>
      </c>
      <c r="B88" s="3" t="s">
        <v>51</v>
      </c>
      <c r="C88" s="3" t="s">
        <v>242</v>
      </c>
      <c r="D88" s="106" t="s">
        <v>243</v>
      </c>
      <c r="E88" s="107"/>
      <c r="F88" s="3" t="s">
        <v>58</v>
      </c>
      <c r="G88" s="38">
        <v>1</v>
      </c>
      <c r="H88" s="98"/>
      <c r="I88" s="39" t="s">
        <v>59</v>
      </c>
      <c r="J88" s="38">
        <f>G88*AO88</f>
        <v>0</v>
      </c>
      <c r="K88" s="38">
        <f>G88*AP88</f>
        <v>0</v>
      </c>
      <c r="L88" s="38">
        <f>G88*H88</f>
        <v>0</v>
      </c>
      <c r="M88" s="38">
        <f>L88*(1+BW88/100)</f>
        <v>0</v>
      </c>
      <c r="N88" s="38">
        <v>0.1</v>
      </c>
      <c r="O88" s="38">
        <f>G88*N88</f>
        <v>0.1</v>
      </c>
      <c r="P88" s="40" t="s">
        <v>67</v>
      </c>
      <c r="Z88" s="38">
        <f>IF(AQ88="5",BJ88,0)</f>
        <v>0</v>
      </c>
      <c r="AB88" s="38">
        <f>IF(AQ88="1",BH88,0)</f>
        <v>0</v>
      </c>
      <c r="AC88" s="38">
        <f>IF(AQ88="1",BI88,0)</f>
        <v>0</v>
      </c>
      <c r="AD88" s="38">
        <f>IF(AQ88="7",BH88,0)</f>
        <v>0</v>
      </c>
      <c r="AE88" s="38">
        <f>IF(AQ88="7",BI88,0)</f>
        <v>0</v>
      </c>
      <c r="AF88" s="38">
        <f>IF(AQ88="2",BH88,0)</f>
        <v>0</v>
      </c>
      <c r="AG88" s="38">
        <f>IF(AQ88="2",BI88,0)</f>
        <v>0</v>
      </c>
      <c r="AH88" s="38">
        <f>IF(AQ88="0",BJ88,0)</f>
        <v>0</v>
      </c>
      <c r="AI88" s="13" t="s">
        <v>51</v>
      </c>
      <c r="AJ88" s="38">
        <f>IF(AN88=0,L88,0)</f>
        <v>0</v>
      </c>
      <c r="AK88" s="38">
        <f>IF(AN88=12,L88,0)</f>
        <v>0</v>
      </c>
      <c r="AL88" s="38">
        <f>IF(AN88=21,L88,0)</f>
        <v>0</v>
      </c>
      <c r="AN88" s="38">
        <v>21</v>
      </c>
      <c r="AO88" s="38">
        <f>H88*1</f>
        <v>0</v>
      </c>
      <c r="AP88" s="38">
        <f>H88*(1-1)</f>
        <v>0</v>
      </c>
      <c r="AQ88" s="39" t="s">
        <v>55</v>
      </c>
      <c r="AV88" s="38">
        <f>AW88+AX88</f>
        <v>0</v>
      </c>
      <c r="AW88" s="38">
        <f>G88*AO88</f>
        <v>0</v>
      </c>
      <c r="AX88" s="38">
        <f>G88*AP88</f>
        <v>0</v>
      </c>
      <c r="AY88" s="39" t="s">
        <v>195</v>
      </c>
      <c r="AZ88" s="39" t="s">
        <v>77</v>
      </c>
      <c r="BA88" s="13" t="s">
        <v>63</v>
      </c>
      <c r="BC88" s="38">
        <f>AW88+AX88</f>
        <v>0</v>
      </c>
      <c r="BD88" s="38">
        <f>H88/(100-BE88)*100</f>
        <v>0</v>
      </c>
      <c r="BE88" s="38">
        <v>0</v>
      </c>
      <c r="BF88" s="38">
        <f>O88</f>
        <v>0.1</v>
      </c>
      <c r="BH88" s="38">
        <f>G88*AO88</f>
        <v>0</v>
      </c>
      <c r="BI88" s="38">
        <f>G88*AP88</f>
        <v>0</v>
      </c>
      <c r="BJ88" s="38">
        <f>G88*H88</f>
        <v>0</v>
      </c>
      <c r="BK88" s="38"/>
      <c r="BL88" s="38"/>
      <c r="BW88" s="38" t="str">
        <f>I88</f>
        <v>21</v>
      </c>
      <c r="BX88" s="5" t="s">
        <v>243</v>
      </c>
    </row>
    <row r="89" spans="1:76" x14ac:dyDescent="0.25">
      <c r="A89" s="41"/>
      <c r="C89" s="42" t="s">
        <v>78</v>
      </c>
      <c r="D89" s="178" t="s">
        <v>205</v>
      </c>
      <c r="E89" s="179"/>
      <c r="F89" s="179"/>
      <c r="G89" s="179"/>
      <c r="H89" s="179"/>
      <c r="I89" s="179"/>
      <c r="J89" s="179"/>
      <c r="K89" s="179"/>
      <c r="L89" s="179"/>
      <c r="M89" s="179"/>
      <c r="N89" s="179"/>
      <c r="O89" s="179"/>
      <c r="P89" s="180"/>
      <c r="BX89" s="43" t="s">
        <v>205</v>
      </c>
    </row>
    <row r="90" spans="1:76" x14ac:dyDescent="0.25">
      <c r="A90" s="33" t="s">
        <v>50</v>
      </c>
      <c r="B90" s="34" t="s">
        <v>51</v>
      </c>
      <c r="C90" s="34" t="s">
        <v>244</v>
      </c>
      <c r="D90" s="174" t="s">
        <v>245</v>
      </c>
      <c r="E90" s="175"/>
      <c r="F90" s="36" t="s">
        <v>4</v>
      </c>
      <c r="G90" s="36" t="s">
        <v>4</v>
      </c>
      <c r="H90" s="36" t="s">
        <v>4</v>
      </c>
      <c r="I90" s="36" t="s">
        <v>4</v>
      </c>
      <c r="J90" s="1">
        <f>SUM(J91:J91)</f>
        <v>0</v>
      </c>
      <c r="K90" s="1">
        <f>SUM(K91:K91)</f>
        <v>0</v>
      </c>
      <c r="L90" s="1">
        <f>SUM(L91:L91)</f>
        <v>0</v>
      </c>
      <c r="M90" s="1">
        <f>SUM(M91:M91)</f>
        <v>0</v>
      </c>
      <c r="N90" s="13" t="s">
        <v>50</v>
      </c>
      <c r="O90" s="1">
        <f>SUM(O91:O91)</f>
        <v>0</v>
      </c>
      <c r="P90" s="37" t="s">
        <v>50</v>
      </c>
      <c r="AI90" s="13" t="s">
        <v>51</v>
      </c>
      <c r="AS90" s="1">
        <f>SUM(AJ91:AJ91)</f>
        <v>0</v>
      </c>
      <c r="AT90" s="1">
        <f>SUM(AK91:AK91)</f>
        <v>0</v>
      </c>
      <c r="AU90" s="1">
        <f>SUM(AL91:AL91)</f>
        <v>0</v>
      </c>
    </row>
    <row r="91" spans="1:76" x14ac:dyDescent="0.25">
      <c r="A91" s="2" t="s">
        <v>246</v>
      </c>
      <c r="B91" s="3" t="s">
        <v>51</v>
      </c>
      <c r="C91" s="3" t="s">
        <v>247</v>
      </c>
      <c r="D91" s="106" t="s">
        <v>248</v>
      </c>
      <c r="E91" s="107"/>
      <c r="F91" s="3" t="s">
        <v>140</v>
      </c>
      <c r="G91" s="38">
        <v>1</v>
      </c>
      <c r="H91" s="98"/>
      <c r="I91" s="39" t="s">
        <v>59</v>
      </c>
      <c r="J91" s="38">
        <f>G91*AO91</f>
        <v>0</v>
      </c>
      <c r="K91" s="38">
        <f>G91*AP91</f>
        <v>0</v>
      </c>
      <c r="L91" s="38">
        <f>G91*H91</f>
        <v>0</v>
      </c>
      <c r="M91" s="38">
        <f>L91*(1+BW91/100)</f>
        <v>0</v>
      </c>
      <c r="N91" s="38">
        <v>0</v>
      </c>
      <c r="O91" s="38">
        <f>G91*N91</f>
        <v>0</v>
      </c>
      <c r="P91" s="40" t="s">
        <v>67</v>
      </c>
      <c r="Z91" s="38">
        <f>IF(AQ91="5",BJ91,0)</f>
        <v>0</v>
      </c>
      <c r="AB91" s="38">
        <f>IF(AQ91="1",BH91,0)</f>
        <v>0</v>
      </c>
      <c r="AC91" s="38">
        <f>IF(AQ91="1",BI91,0)</f>
        <v>0</v>
      </c>
      <c r="AD91" s="38">
        <f>IF(AQ91="7",BH91,0)</f>
        <v>0</v>
      </c>
      <c r="AE91" s="38">
        <f>IF(AQ91="7",BI91,0)</f>
        <v>0</v>
      </c>
      <c r="AF91" s="38">
        <f>IF(AQ91="2",BH91,0)</f>
        <v>0</v>
      </c>
      <c r="AG91" s="38">
        <f>IF(AQ91="2",BI91,0)</f>
        <v>0</v>
      </c>
      <c r="AH91" s="38">
        <f>IF(AQ91="0",BJ91,0)</f>
        <v>0</v>
      </c>
      <c r="AI91" s="13" t="s">
        <v>51</v>
      </c>
      <c r="AJ91" s="38">
        <f>IF(AN91=0,L91,0)</f>
        <v>0</v>
      </c>
      <c r="AK91" s="38">
        <f>IF(AN91=12,L91,0)</f>
        <v>0</v>
      </c>
      <c r="AL91" s="38">
        <f>IF(AN91=21,L91,0)</f>
        <v>0</v>
      </c>
      <c r="AN91" s="38">
        <v>21</v>
      </c>
      <c r="AO91" s="38">
        <f>H91*0</f>
        <v>0</v>
      </c>
      <c r="AP91" s="38">
        <f>H91*(1-0)</f>
        <v>0</v>
      </c>
      <c r="AQ91" s="39" t="s">
        <v>64</v>
      </c>
      <c r="AV91" s="38">
        <f>AW91+AX91</f>
        <v>0</v>
      </c>
      <c r="AW91" s="38">
        <f>G91*AO91</f>
        <v>0</v>
      </c>
      <c r="AX91" s="38">
        <f>G91*AP91</f>
        <v>0</v>
      </c>
      <c r="AY91" s="39" t="s">
        <v>249</v>
      </c>
      <c r="AZ91" s="39" t="s">
        <v>77</v>
      </c>
      <c r="BA91" s="13" t="s">
        <v>63</v>
      </c>
      <c r="BC91" s="38">
        <f>AW91+AX91</f>
        <v>0</v>
      </c>
      <c r="BD91" s="38">
        <f>H91/(100-BE91)*100</f>
        <v>0</v>
      </c>
      <c r="BE91" s="38">
        <v>0</v>
      </c>
      <c r="BF91" s="38">
        <f>O91</f>
        <v>0</v>
      </c>
      <c r="BH91" s="38">
        <f>G91*AO91</f>
        <v>0</v>
      </c>
      <c r="BI91" s="38">
        <f>G91*AP91</f>
        <v>0</v>
      </c>
      <c r="BJ91" s="38">
        <f>G91*H91</f>
        <v>0</v>
      </c>
      <c r="BK91" s="38"/>
      <c r="BL91" s="38"/>
      <c r="BW91" s="38" t="str">
        <f>I91</f>
        <v>21</v>
      </c>
      <c r="BX91" s="5" t="s">
        <v>248</v>
      </c>
    </row>
    <row r="92" spans="1:76" x14ac:dyDescent="0.25">
      <c r="A92" s="33" t="s">
        <v>50</v>
      </c>
      <c r="B92" s="34" t="s">
        <v>51</v>
      </c>
      <c r="C92" s="34" t="s">
        <v>175</v>
      </c>
      <c r="D92" s="174" t="s">
        <v>250</v>
      </c>
      <c r="E92" s="175"/>
      <c r="F92" s="36" t="s">
        <v>4</v>
      </c>
      <c r="G92" s="36" t="s">
        <v>4</v>
      </c>
      <c r="H92" s="36" t="s">
        <v>4</v>
      </c>
      <c r="I92" s="36" t="s">
        <v>4</v>
      </c>
      <c r="J92" s="1">
        <f>SUM(J93:J99)</f>
        <v>0</v>
      </c>
      <c r="K92" s="1">
        <f>SUM(K93:K99)</f>
        <v>0</v>
      </c>
      <c r="L92" s="1">
        <f>SUM(L93:L99)</f>
        <v>0</v>
      </c>
      <c r="M92" s="1">
        <f>SUM(M93:M99)</f>
        <v>0</v>
      </c>
      <c r="N92" s="13" t="s">
        <v>50</v>
      </c>
      <c r="O92" s="1">
        <f>SUM(O93:O99)</f>
        <v>2.1082055854999999</v>
      </c>
      <c r="P92" s="37" t="s">
        <v>50</v>
      </c>
      <c r="AI92" s="13" t="s">
        <v>51</v>
      </c>
      <c r="AS92" s="1">
        <f>SUM(AJ93:AJ99)</f>
        <v>0</v>
      </c>
      <c r="AT92" s="1">
        <f>SUM(AK93:AK99)</f>
        <v>0</v>
      </c>
      <c r="AU92" s="1">
        <f>SUM(AL93:AL99)</f>
        <v>0</v>
      </c>
    </row>
    <row r="93" spans="1:76" x14ac:dyDescent="0.25">
      <c r="A93" s="2" t="s">
        <v>251</v>
      </c>
      <c r="B93" s="3" t="s">
        <v>51</v>
      </c>
      <c r="C93" s="3" t="s">
        <v>252</v>
      </c>
      <c r="D93" s="106" t="s">
        <v>253</v>
      </c>
      <c r="E93" s="107"/>
      <c r="F93" s="3" t="s">
        <v>83</v>
      </c>
      <c r="G93" s="38">
        <v>9.766</v>
      </c>
      <c r="H93" s="98"/>
      <c r="I93" s="39" t="s">
        <v>59</v>
      </c>
      <c r="J93" s="38">
        <f>G93*AO93</f>
        <v>0</v>
      </c>
      <c r="K93" s="38">
        <f>G93*AP93</f>
        <v>0</v>
      </c>
      <c r="L93" s="38">
        <f>G93*H93</f>
        <v>0</v>
      </c>
      <c r="M93" s="38">
        <f>L93*(1+BW93/100)</f>
        <v>0</v>
      </c>
      <c r="N93" s="38">
        <v>0.13802</v>
      </c>
      <c r="O93" s="38">
        <f>G93*N93</f>
        <v>1.3479033200000001</v>
      </c>
      <c r="P93" s="40" t="s">
        <v>60</v>
      </c>
      <c r="Z93" s="38">
        <f>IF(AQ93="5",BJ93,0)</f>
        <v>0</v>
      </c>
      <c r="AB93" s="38">
        <f>IF(AQ93="1",BH93,0)</f>
        <v>0</v>
      </c>
      <c r="AC93" s="38">
        <f>IF(AQ93="1",BI93,0)</f>
        <v>0</v>
      </c>
      <c r="AD93" s="38">
        <f>IF(AQ93="7",BH93,0)</f>
        <v>0</v>
      </c>
      <c r="AE93" s="38">
        <f>IF(AQ93="7",BI93,0)</f>
        <v>0</v>
      </c>
      <c r="AF93" s="38">
        <f>IF(AQ93="2",BH93,0)</f>
        <v>0</v>
      </c>
      <c r="AG93" s="38">
        <f>IF(AQ93="2",BI93,0)</f>
        <v>0</v>
      </c>
      <c r="AH93" s="38">
        <f>IF(AQ93="0",BJ93,0)</f>
        <v>0</v>
      </c>
      <c r="AI93" s="13" t="s">
        <v>51</v>
      </c>
      <c r="AJ93" s="38">
        <f>IF(AN93=0,L93,0)</f>
        <v>0</v>
      </c>
      <c r="AK93" s="38">
        <f>IF(AN93=12,L93,0)</f>
        <v>0</v>
      </c>
      <c r="AL93" s="38">
        <f>IF(AN93=21,L93,0)</f>
        <v>0</v>
      </c>
      <c r="AN93" s="38">
        <v>21</v>
      </c>
      <c r="AO93" s="38">
        <f>H93*0.655216</f>
        <v>0</v>
      </c>
      <c r="AP93" s="38">
        <f>H93*(1-0.655216)</f>
        <v>0</v>
      </c>
      <c r="AQ93" s="39" t="s">
        <v>55</v>
      </c>
      <c r="AV93" s="38">
        <f>AW93+AX93</f>
        <v>0</v>
      </c>
      <c r="AW93" s="38">
        <f>G93*AO93</f>
        <v>0</v>
      </c>
      <c r="AX93" s="38">
        <f>G93*AP93</f>
        <v>0</v>
      </c>
      <c r="AY93" s="39" t="s">
        <v>254</v>
      </c>
      <c r="AZ93" s="39" t="s">
        <v>62</v>
      </c>
      <c r="BA93" s="13" t="s">
        <v>63</v>
      </c>
      <c r="BC93" s="38">
        <f>AW93+AX93</f>
        <v>0</v>
      </c>
      <c r="BD93" s="38">
        <f>H93/(100-BE93)*100</f>
        <v>0</v>
      </c>
      <c r="BE93" s="38">
        <v>0</v>
      </c>
      <c r="BF93" s="38">
        <f>O93</f>
        <v>1.3479033200000001</v>
      </c>
      <c r="BH93" s="38">
        <f>G93*AO93</f>
        <v>0</v>
      </c>
      <c r="BI93" s="38">
        <f>G93*AP93</f>
        <v>0</v>
      </c>
      <c r="BJ93" s="38">
        <f>G93*H93</f>
        <v>0</v>
      </c>
      <c r="BK93" s="38"/>
      <c r="BL93" s="38">
        <v>34</v>
      </c>
      <c r="BW93" s="38" t="str">
        <f>I93</f>
        <v>21</v>
      </c>
      <c r="BX93" s="5" t="s">
        <v>253</v>
      </c>
    </row>
    <row r="94" spans="1:76" ht="25.5" x14ac:dyDescent="0.25">
      <c r="A94" s="41"/>
      <c r="C94" s="42" t="s">
        <v>78</v>
      </c>
      <c r="D94" s="178" t="s">
        <v>255</v>
      </c>
      <c r="E94" s="179"/>
      <c r="F94" s="179"/>
      <c r="G94" s="179"/>
      <c r="H94" s="179"/>
      <c r="I94" s="179"/>
      <c r="J94" s="179"/>
      <c r="K94" s="179"/>
      <c r="L94" s="179"/>
      <c r="M94" s="179"/>
      <c r="N94" s="179"/>
      <c r="O94" s="179"/>
      <c r="P94" s="180"/>
      <c r="BX94" s="43" t="s">
        <v>255</v>
      </c>
    </row>
    <row r="95" spans="1:76" x14ac:dyDescent="0.25">
      <c r="A95" s="2" t="s">
        <v>256</v>
      </c>
      <c r="B95" s="3" t="s">
        <v>51</v>
      </c>
      <c r="C95" s="3" t="s">
        <v>257</v>
      </c>
      <c r="D95" s="106" t="s">
        <v>258</v>
      </c>
      <c r="E95" s="107"/>
      <c r="F95" s="3" t="s">
        <v>125</v>
      </c>
      <c r="G95" s="38">
        <v>0.36899999999999999</v>
      </c>
      <c r="H95" s="98"/>
      <c r="I95" s="39" t="s">
        <v>59</v>
      </c>
      <c r="J95" s="38">
        <f>G95*AO95</f>
        <v>0</v>
      </c>
      <c r="K95" s="38">
        <f>G95*AP95</f>
        <v>0</v>
      </c>
      <c r="L95" s="38">
        <f>G95*H95</f>
        <v>0</v>
      </c>
      <c r="M95" s="38">
        <f>L95*(1+BW95/100)</f>
        <v>0</v>
      </c>
      <c r="N95" s="38">
        <v>0.76182000000000005</v>
      </c>
      <c r="O95" s="38">
        <f>G95*N95</f>
        <v>0.28111158000000003</v>
      </c>
      <c r="P95" s="40" t="s">
        <v>60</v>
      </c>
      <c r="Z95" s="38">
        <f>IF(AQ95="5",BJ95,0)</f>
        <v>0</v>
      </c>
      <c r="AB95" s="38">
        <f>IF(AQ95="1",BH95,0)</f>
        <v>0</v>
      </c>
      <c r="AC95" s="38">
        <f>IF(AQ95="1",BI95,0)</f>
        <v>0</v>
      </c>
      <c r="AD95" s="38">
        <f>IF(AQ95="7",BH95,0)</f>
        <v>0</v>
      </c>
      <c r="AE95" s="38">
        <f>IF(AQ95="7",BI95,0)</f>
        <v>0</v>
      </c>
      <c r="AF95" s="38">
        <f>IF(AQ95="2",BH95,0)</f>
        <v>0</v>
      </c>
      <c r="AG95" s="38">
        <f>IF(AQ95="2",BI95,0)</f>
        <v>0</v>
      </c>
      <c r="AH95" s="38">
        <f>IF(AQ95="0",BJ95,0)</f>
        <v>0</v>
      </c>
      <c r="AI95" s="13" t="s">
        <v>51</v>
      </c>
      <c r="AJ95" s="38">
        <f>IF(AN95=0,L95,0)</f>
        <v>0</v>
      </c>
      <c r="AK95" s="38">
        <f>IF(AN95=12,L95,0)</f>
        <v>0</v>
      </c>
      <c r="AL95" s="38">
        <f>IF(AN95=21,L95,0)</f>
        <v>0</v>
      </c>
      <c r="AN95" s="38">
        <v>21</v>
      </c>
      <c r="AO95" s="38">
        <f>H95*0.761846764</f>
        <v>0</v>
      </c>
      <c r="AP95" s="38">
        <f>H95*(1-0.761846764)</f>
        <v>0</v>
      </c>
      <c r="AQ95" s="39" t="s">
        <v>55</v>
      </c>
      <c r="AV95" s="38">
        <f>AW95+AX95</f>
        <v>0</v>
      </c>
      <c r="AW95" s="38">
        <f>G95*AO95</f>
        <v>0</v>
      </c>
      <c r="AX95" s="38">
        <f>G95*AP95</f>
        <v>0</v>
      </c>
      <c r="AY95" s="39" t="s">
        <v>254</v>
      </c>
      <c r="AZ95" s="39" t="s">
        <v>62</v>
      </c>
      <c r="BA95" s="13" t="s">
        <v>63</v>
      </c>
      <c r="BC95" s="38">
        <f>AW95+AX95</f>
        <v>0</v>
      </c>
      <c r="BD95" s="38">
        <f>H95/(100-BE95)*100</f>
        <v>0</v>
      </c>
      <c r="BE95" s="38">
        <v>0</v>
      </c>
      <c r="BF95" s="38">
        <f>O95</f>
        <v>0.28111158000000003</v>
      </c>
      <c r="BH95" s="38">
        <f>G95*AO95</f>
        <v>0</v>
      </c>
      <c r="BI95" s="38">
        <f>G95*AP95</f>
        <v>0</v>
      </c>
      <c r="BJ95" s="38">
        <f>G95*H95</f>
        <v>0</v>
      </c>
      <c r="BK95" s="38"/>
      <c r="BL95" s="38">
        <v>34</v>
      </c>
      <c r="BW95" s="38" t="str">
        <f>I95</f>
        <v>21</v>
      </c>
      <c r="BX95" s="5" t="s">
        <v>258</v>
      </c>
    </row>
    <row r="96" spans="1:76" x14ac:dyDescent="0.25">
      <c r="A96" s="2" t="s">
        <v>259</v>
      </c>
      <c r="B96" s="3" t="s">
        <v>51</v>
      </c>
      <c r="C96" s="3" t="s">
        <v>260</v>
      </c>
      <c r="D96" s="106" t="s">
        <v>261</v>
      </c>
      <c r="E96" s="107"/>
      <c r="F96" s="3" t="s">
        <v>125</v>
      </c>
      <c r="G96" s="38">
        <v>0.27675</v>
      </c>
      <c r="H96" s="98"/>
      <c r="I96" s="39" t="s">
        <v>59</v>
      </c>
      <c r="J96" s="38">
        <f>G96*AO96</f>
        <v>0</v>
      </c>
      <c r="K96" s="38">
        <f>G96*AP96</f>
        <v>0</v>
      </c>
      <c r="L96" s="38">
        <f>G96*H96</f>
        <v>0</v>
      </c>
      <c r="M96" s="38">
        <f>L96*(1+BW96/100)</f>
        <v>0</v>
      </c>
      <c r="N96" s="38">
        <v>0.76605000000000001</v>
      </c>
      <c r="O96" s="38">
        <f>G96*N96</f>
        <v>0.2120043375</v>
      </c>
      <c r="P96" s="40" t="s">
        <v>60</v>
      </c>
      <c r="Z96" s="38">
        <f>IF(AQ96="5",BJ96,0)</f>
        <v>0</v>
      </c>
      <c r="AB96" s="38">
        <f>IF(AQ96="1",BH96,0)</f>
        <v>0</v>
      </c>
      <c r="AC96" s="38">
        <f>IF(AQ96="1",BI96,0)</f>
        <v>0</v>
      </c>
      <c r="AD96" s="38">
        <f>IF(AQ96="7",BH96,0)</f>
        <v>0</v>
      </c>
      <c r="AE96" s="38">
        <f>IF(AQ96="7",BI96,0)</f>
        <v>0</v>
      </c>
      <c r="AF96" s="38">
        <f>IF(AQ96="2",BH96,0)</f>
        <v>0</v>
      </c>
      <c r="AG96" s="38">
        <f>IF(AQ96="2",BI96,0)</f>
        <v>0</v>
      </c>
      <c r="AH96" s="38">
        <f>IF(AQ96="0",BJ96,0)</f>
        <v>0</v>
      </c>
      <c r="AI96" s="13" t="s">
        <v>51</v>
      </c>
      <c r="AJ96" s="38">
        <f>IF(AN96=0,L96,0)</f>
        <v>0</v>
      </c>
      <c r="AK96" s="38">
        <f>IF(AN96=12,L96,0)</f>
        <v>0</v>
      </c>
      <c r="AL96" s="38">
        <f>IF(AN96=21,L96,0)</f>
        <v>0</v>
      </c>
      <c r="AN96" s="38">
        <v>21</v>
      </c>
      <c r="AO96" s="38">
        <f>H96*0.755200858</f>
        <v>0</v>
      </c>
      <c r="AP96" s="38">
        <f>H96*(1-0.755200858)</f>
        <v>0</v>
      </c>
      <c r="AQ96" s="39" t="s">
        <v>55</v>
      </c>
      <c r="AV96" s="38">
        <f>AW96+AX96</f>
        <v>0</v>
      </c>
      <c r="AW96" s="38">
        <f>G96*AO96</f>
        <v>0</v>
      </c>
      <c r="AX96" s="38">
        <f>G96*AP96</f>
        <v>0</v>
      </c>
      <c r="AY96" s="39" t="s">
        <v>254</v>
      </c>
      <c r="AZ96" s="39" t="s">
        <v>62</v>
      </c>
      <c r="BA96" s="13" t="s">
        <v>63</v>
      </c>
      <c r="BC96" s="38">
        <f>AW96+AX96</f>
        <v>0</v>
      </c>
      <c r="BD96" s="38">
        <f>H96/(100-BE96)*100</f>
        <v>0</v>
      </c>
      <c r="BE96" s="38">
        <v>0</v>
      </c>
      <c r="BF96" s="38">
        <f>O96</f>
        <v>0.2120043375</v>
      </c>
      <c r="BH96" s="38">
        <f>G96*AO96</f>
        <v>0</v>
      </c>
      <c r="BI96" s="38">
        <f>G96*AP96</f>
        <v>0</v>
      </c>
      <c r="BJ96" s="38">
        <f>G96*H96</f>
        <v>0</v>
      </c>
      <c r="BK96" s="38"/>
      <c r="BL96" s="38">
        <v>34</v>
      </c>
      <c r="BW96" s="38" t="str">
        <f>I96</f>
        <v>21</v>
      </c>
      <c r="BX96" s="5" t="s">
        <v>261</v>
      </c>
    </row>
    <row r="97" spans="1:76" ht="25.5" x14ac:dyDescent="0.25">
      <c r="A97" s="41"/>
      <c r="C97" s="42" t="s">
        <v>78</v>
      </c>
      <c r="D97" s="178" t="s">
        <v>262</v>
      </c>
      <c r="E97" s="179"/>
      <c r="F97" s="179"/>
      <c r="G97" s="179"/>
      <c r="H97" s="179"/>
      <c r="I97" s="179"/>
      <c r="J97" s="179"/>
      <c r="K97" s="179"/>
      <c r="L97" s="179"/>
      <c r="M97" s="179"/>
      <c r="N97" s="179"/>
      <c r="O97" s="179"/>
      <c r="P97" s="180"/>
      <c r="BX97" s="43" t="s">
        <v>262</v>
      </c>
    </row>
    <row r="98" spans="1:76" x14ac:dyDescent="0.25">
      <c r="A98" s="2" t="s">
        <v>263</v>
      </c>
      <c r="B98" s="3" t="s">
        <v>51</v>
      </c>
      <c r="C98" s="3" t="s">
        <v>264</v>
      </c>
      <c r="D98" s="106" t="s">
        <v>265</v>
      </c>
      <c r="E98" s="107"/>
      <c r="F98" s="3" t="s">
        <v>83</v>
      </c>
      <c r="G98" s="38">
        <v>11.906700000000001</v>
      </c>
      <c r="H98" s="98"/>
      <c r="I98" s="39" t="s">
        <v>59</v>
      </c>
      <c r="J98" s="38">
        <f>G98*AO98</f>
        <v>0</v>
      </c>
      <c r="K98" s="38">
        <f>G98*AP98</f>
        <v>0</v>
      </c>
      <c r="L98" s="38">
        <f>G98*H98</f>
        <v>0</v>
      </c>
      <c r="M98" s="38">
        <f>L98*(1+BW98/100)</f>
        <v>0</v>
      </c>
      <c r="N98" s="38">
        <v>2.2440000000000002E-2</v>
      </c>
      <c r="O98" s="38">
        <f>G98*N98</f>
        <v>0.26718634800000002</v>
      </c>
      <c r="P98" s="40" t="s">
        <v>60</v>
      </c>
      <c r="Z98" s="38">
        <f>IF(AQ98="5",BJ98,0)</f>
        <v>0</v>
      </c>
      <c r="AB98" s="38">
        <f>IF(AQ98="1",BH98,0)</f>
        <v>0</v>
      </c>
      <c r="AC98" s="38">
        <f>IF(AQ98="1",BI98,0)</f>
        <v>0</v>
      </c>
      <c r="AD98" s="38">
        <f>IF(AQ98="7",BH98,0)</f>
        <v>0</v>
      </c>
      <c r="AE98" s="38">
        <f>IF(AQ98="7",BI98,0)</f>
        <v>0</v>
      </c>
      <c r="AF98" s="38">
        <f>IF(AQ98="2",BH98,0)</f>
        <v>0</v>
      </c>
      <c r="AG98" s="38">
        <f>IF(AQ98="2",BI98,0)</f>
        <v>0</v>
      </c>
      <c r="AH98" s="38">
        <f>IF(AQ98="0",BJ98,0)</f>
        <v>0</v>
      </c>
      <c r="AI98" s="13" t="s">
        <v>51</v>
      </c>
      <c r="AJ98" s="38">
        <f>IF(AN98=0,L98,0)</f>
        <v>0</v>
      </c>
      <c r="AK98" s="38">
        <f>IF(AN98=12,L98,0)</f>
        <v>0</v>
      </c>
      <c r="AL98" s="38">
        <f>IF(AN98=21,L98,0)</f>
        <v>0</v>
      </c>
      <c r="AN98" s="38">
        <v>21</v>
      </c>
      <c r="AO98" s="38">
        <f>H98*0.445899453</f>
        <v>0</v>
      </c>
      <c r="AP98" s="38">
        <f>H98*(1-0.445899453)</f>
        <v>0</v>
      </c>
      <c r="AQ98" s="39" t="s">
        <v>55</v>
      </c>
      <c r="AV98" s="38">
        <f>AW98+AX98</f>
        <v>0</v>
      </c>
      <c r="AW98" s="38">
        <f>G98*AO98</f>
        <v>0</v>
      </c>
      <c r="AX98" s="38">
        <f>G98*AP98</f>
        <v>0</v>
      </c>
      <c r="AY98" s="39" t="s">
        <v>254</v>
      </c>
      <c r="AZ98" s="39" t="s">
        <v>62</v>
      </c>
      <c r="BA98" s="13" t="s">
        <v>63</v>
      </c>
      <c r="BC98" s="38">
        <f>AW98+AX98</f>
        <v>0</v>
      </c>
      <c r="BD98" s="38">
        <f>H98/(100-BE98)*100</f>
        <v>0</v>
      </c>
      <c r="BE98" s="38">
        <v>0</v>
      </c>
      <c r="BF98" s="38">
        <f>O98</f>
        <v>0.26718634800000002</v>
      </c>
      <c r="BH98" s="38">
        <f>G98*AO98</f>
        <v>0</v>
      </c>
      <c r="BI98" s="38">
        <f>G98*AP98</f>
        <v>0</v>
      </c>
      <c r="BJ98" s="38">
        <f>G98*H98</f>
        <v>0</v>
      </c>
      <c r="BK98" s="38"/>
      <c r="BL98" s="38">
        <v>34</v>
      </c>
      <c r="BW98" s="38" t="str">
        <f>I98</f>
        <v>21</v>
      </c>
      <c r="BX98" s="5" t="s">
        <v>265</v>
      </c>
    </row>
    <row r="99" spans="1:76" x14ac:dyDescent="0.25">
      <c r="A99" s="2" t="s">
        <v>266</v>
      </c>
      <c r="B99" s="3" t="s">
        <v>51</v>
      </c>
      <c r="C99" s="3" t="s">
        <v>267</v>
      </c>
      <c r="D99" s="106" t="s">
        <v>268</v>
      </c>
      <c r="E99" s="107"/>
      <c r="F99" s="3" t="s">
        <v>166</v>
      </c>
      <c r="G99" s="38">
        <v>2.08765</v>
      </c>
      <c r="H99" s="98"/>
      <c r="I99" s="39" t="s">
        <v>59</v>
      </c>
      <c r="J99" s="38">
        <f>G99*AO99</f>
        <v>0</v>
      </c>
      <c r="K99" s="38">
        <f>G99*AP99</f>
        <v>0</v>
      </c>
      <c r="L99" s="38">
        <f>G99*H99</f>
        <v>0</v>
      </c>
      <c r="M99" s="38">
        <f>L99*(1+BW99/100)</f>
        <v>0</v>
      </c>
      <c r="N99" s="38">
        <v>0</v>
      </c>
      <c r="O99" s="38">
        <f>G99*N99</f>
        <v>0</v>
      </c>
      <c r="P99" s="40" t="s">
        <v>60</v>
      </c>
      <c r="Z99" s="38">
        <f>IF(AQ99="5",BJ99,0)</f>
        <v>0</v>
      </c>
      <c r="AB99" s="38">
        <f>IF(AQ99="1",BH99,0)</f>
        <v>0</v>
      </c>
      <c r="AC99" s="38">
        <f>IF(AQ99="1",BI99,0)</f>
        <v>0</v>
      </c>
      <c r="AD99" s="38">
        <f>IF(AQ99="7",BH99,0)</f>
        <v>0</v>
      </c>
      <c r="AE99" s="38">
        <f>IF(AQ99="7",BI99,0)</f>
        <v>0</v>
      </c>
      <c r="AF99" s="38">
        <f>IF(AQ99="2",BH99,0)</f>
        <v>0</v>
      </c>
      <c r="AG99" s="38">
        <f>IF(AQ99="2",BI99,0)</f>
        <v>0</v>
      </c>
      <c r="AH99" s="38">
        <f>IF(AQ99="0",BJ99,0)</f>
        <v>0</v>
      </c>
      <c r="AI99" s="13" t="s">
        <v>51</v>
      </c>
      <c r="AJ99" s="38">
        <f>IF(AN99=0,L99,0)</f>
        <v>0</v>
      </c>
      <c r="AK99" s="38">
        <f>IF(AN99=12,L99,0)</f>
        <v>0</v>
      </c>
      <c r="AL99" s="38">
        <f>IF(AN99=21,L99,0)</f>
        <v>0</v>
      </c>
      <c r="AN99" s="38">
        <v>21</v>
      </c>
      <c r="AO99" s="38">
        <f>H99*0</f>
        <v>0</v>
      </c>
      <c r="AP99" s="38">
        <f>H99*(1-0)</f>
        <v>0</v>
      </c>
      <c r="AQ99" s="39" t="s">
        <v>80</v>
      </c>
      <c r="AV99" s="38">
        <f>AW99+AX99</f>
        <v>0</v>
      </c>
      <c r="AW99" s="38">
        <f>G99*AO99</f>
        <v>0</v>
      </c>
      <c r="AX99" s="38">
        <f>G99*AP99</f>
        <v>0</v>
      </c>
      <c r="AY99" s="39" t="s">
        <v>254</v>
      </c>
      <c r="AZ99" s="39" t="s">
        <v>62</v>
      </c>
      <c r="BA99" s="13" t="s">
        <v>63</v>
      </c>
      <c r="BC99" s="38">
        <f>AW99+AX99</f>
        <v>0</v>
      </c>
      <c r="BD99" s="38">
        <f>H99/(100-BE99)*100</f>
        <v>0</v>
      </c>
      <c r="BE99" s="38">
        <v>0</v>
      </c>
      <c r="BF99" s="38">
        <f>O99</f>
        <v>0</v>
      </c>
      <c r="BH99" s="38">
        <f>G99*AO99</f>
        <v>0</v>
      </c>
      <c r="BI99" s="38">
        <f>G99*AP99</f>
        <v>0</v>
      </c>
      <c r="BJ99" s="38">
        <f>G99*H99</f>
        <v>0</v>
      </c>
      <c r="BK99" s="38"/>
      <c r="BL99" s="38">
        <v>34</v>
      </c>
      <c r="BW99" s="38" t="str">
        <f>I99</f>
        <v>21</v>
      </c>
      <c r="BX99" s="5" t="s">
        <v>268</v>
      </c>
    </row>
    <row r="100" spans="1:76" x14ac:dyDescent="0.25">
      <c r="A100" s="33" t="s">
        <v>50</v>
      </c>
      <c r="B100" s="34" t="s">
        <v>51</v>
      </c>
      <c r="C100" s="34" t="s">
        <v>199</v>
      </c>
      <c r="D100" s="174" t="s">
        <v>269</v>
      </c>
      <c r="E100" s="175"/>
      <c r="F100" s="36" t="s">
        <v>4</v>
      </c>
      <c r="G100" s="36" t="s">
        <v>4</v>
      </c>
      <c r="H100" s="36" t="s">
        <v>4</v>
      </c>
      <c r="I100" s="36" t="s">
        <v>4</v>
      </c>
      <c r="J100" s="1">
        <f>SUM(J101:J108)</f>
        <v>0</v>
      </c>
      <c r="K100" s="1">
        <f>SUM(K101:K108)</f>
        <v>0</v>
      </c>
      <c r="L100" s="1">
        <f>SUM(L101:L108)</f>
        <v>0</v>
      </c>
      <c r="M100" s="1">
        <f>SUM(M101:M108)</f>
        <v>0</v>
      </c>
      <c r="N100" s="13" t="s">
        <v>50</v>
      </c>
      <c r="O100" s="1">
        <f>SUM(O101:O108)</f>
        <v>0.56910229999999995</v>
      </c>
      <c r="P100" s="37" t="s">
        <v>50</v>
      </c>
      <c r="AI100" s="13" t="s">
        <v>51</v>
      </c>
      <c r="AS100" s="1">
        <f>SUM(AJ101:AJ108)</f>
        <v>0</v>
      </c>
      <c r="AT100" s="1">
        <f>SUM(AK101:AK108)</f>
        <v>0</v>
      </c>
      <c r="AU100" s="1">
        <f>SUM(AL101:AL108)</f>
        <v>0</v>
      </c>
    </row>
    <row r="101" spans="1:76" x14ac:dyDescent="0.25">
      <c r="A101" s="2" t="s">
        <v>270</v>
      </c>
      <c r="B101" s="3" t="s">
        <v>51</v>
      </c>
      <c r="C101" s="3" t="s">
        <v>271</v>
      </c>
      <c r="D101" s="106" t="s">
        <v>272</v>
      </c>
      <c r="E101" s="107"/>
      <c r="F101" s="3" t="s">
        <v>83</v>
      </c>
      <c r="G101" s="38">
        <v>46.81</v>
      </c>
      <c r="H101" s="98"/>
      <c r="I101" s="39" t="s">
        <v>59</v>
      </c>
      <c r="J101" s="38">
        <f>G101*AO101</f>
        <v>0</v>
      </c>
      <c r="K101" s="38">
        <f>G101*AP101</f>
        <v>0</v>
      </c>
      <c r="L101" s="38">
        <f>G101*H101</f>
        <v>0</v>
      </c>
      <c r="M101" s="38">
        <f>L101*(1+BW101/100)</f>
        <v>0</v>
      </c>
      <c r="N101" s="38">
        <v>9.8300000000000002E-3</v>
      </c>
      <c r="O101" s="38">
        <f>G101*N101</f>
        <v>0.4601423</v>
      </c>
      <c r="P101" s="40" t="s">
        <v>60</v>
      </c>
      <c r="Z101" s="38">
        <f>IF(AQ101="5",BJ101,0)</f>
        <v>0</v>
      </c>
      <c r="AB101" s="38">
        <f>IF(AQ101="1",BH101,0)</f>
        <v>0</v>
      </c>
      <c r="AC101" s="38">
        <f>IF(AQ101="1",BI101,0)</f>
        <v>0</v>
      </c>
      <c r="AD101" s="38">
        <f>IF(AQ101="7",BH101,0)</f>
        <v>0</v>
      </c>
      <c r="AE101" s="38">
        <f>IF(AQ101="7",BI101,0)</f>
        <v>0</v>
      </c>
      <c r="AF101" s="38">
        <f>IF(AQ101="2",BH101,0)</f>
        <v>0</v>
      </c>
      <c r="AG101" s="38">
        <f>IF(AQ101="2",BI101,0)</f>
        <v>0</v>
      </c>
      <c r="AH101" s="38">
        <f>IF(AQ101="0",BJ101,0)</f>
        <v>0</v>
      </c>
      <c r="AI101" s="13" t="s">
        <v>51</v>
      </c>
      <c r="AJ101" s="38">
        <f>IF(AN101=0,L101,0)</f>
        <v>0</v>
      </c>
      <c r="AK101" s="38">
        <f>IF(AN101=12,L101,0)</f>
        <v>0</v>
      </c>
      <c r="AL101" s="38">
        <f>IF(AN101=21,L101,0)</f>
        <v>0</v>
      </c>
      <c r="AN101" s="38">
        <v>21</v>
      </c>
      <c r="AO101" s="38">
        <f>H101*0.781713226</f>
        <v>0</v>
      </c>
      <c r="AP101" s="38">
        <f>H101*(1-0.781713226)</f>
        <v>0</v>
      </c>
      <c r="AQ101" s="39" t="s">
        <v>55</v>
      </c>
      <c r="AV101" s="38">
        <f>AW101+AX101</f>
        <v>0</v>
      </c>
      <c r="AW101" s="38">
        <f>G101*AO101</f>
        <v>0</v>
      </c>
      <c r="AX101" s="38">
        <f>G101*AP101</f>
        <v>0</v>
      </c>
      <c r="AY101" s="39" t="s">
        <v>273</v>
      </c>
      <c r="AZ101" s="39" t="s">
        <v>274</v>
      </c>
      <c r="BA101" s="13" t="s">
        <v>63</v>
      </c>
      <c r="BC101" s="38">
        <f>AW101+AX101</f>
        <v>0</v>
      </c>
      <c r="BD101" s="38">
        <f>H101/(100-BE101)*100</f>
        <v>0</v>
      </c>
      <c r="BE101" s="38">
        <v>0</v>
      </c>
      <c r="BF101" s="38">
        <f>O101</f>
        <v>0.4601423</v>
      </c>
      <c r="BH101" s="38">
        <f>G101*AO101</f>
        <v>0</v>
      </c>
      <c r="BI101" s="38">
        <f>G101*AP101</f>
        <v>0</v>
      </c>
      <c r="BJ101" s="38">
        <f>G101*H101</f>
        <v>0</v>
      </c>
      <c r="BK101" s="38"/>
      <c r="BL101" s="38">
        <v>41</v>
      </c>
      <c r="BW101" s="38" t="str">
        <f>I101</f>
        <v>21</v>
      </c>
      <c r="BX101" s="5" t="s">
        <v>272</v>
      </c>
    </row>
    <row r="102" spans="1:76" ht="25.5" x14ac:dyDescent="0.25">
      <c r="A102" s="41"/>
      <c r="C102" s="42" t="s">
        <v>78</v>
      </c>
      <c r="D102" s="178" t="s">
        <v>275</v>
      </c>
      <c r="E102" s="179"/>
      <c r="F102" s="179"/>
      <c r="G102" s="179"/>
      <c r="H102" s="179"/>
      <c r="I102" s="179"/>
      <c r="J102" s="179"/>
      <c r="K102" s="179"/>
      <c r="L102" s="179"/>
      <c r="M102" s="179"/>
      <c r="N102" s="179"/>
      <c r="O102" s="179"/>
      <c r="P102" s="180"/>
      <c r="BX102" s="43" t="s">
        <v>275</v>
      </c>
    </row>
    <row r="103" spans="1:76" x14ac:dyDescent="0.25">
      <c r="A103" s="2" t="s">
        <v>276</v>
      </c>
      <c r="B103" s="3" t="s">
        <v>51</v>
      </c>
      <c r="C103" s="3" t="s">
        <v>277</v>
      </c>
      <c r="D103" s="106" t="s">
        <v>278</v>
      </c>
      <c r="E103" s="107"/>
      <c r="F103" s="3" t="s">
        <v>83</v>
      </c>
      <c r="G103" s="38">
        <v>4</v>
      </c>
      <c r="H103" s="98"/>
      <c r="I103" s="39" t="s">
        <v>59</v>
      </c>
      <c r="J103" s="38">
        <f>G103*AO103</f>
        <v>0</v>
      </c>
      <c r="K103" s="38">
        <f>G103*AP103</f>
        <v>0</v>
      </c>
      <c r="L103" s="38">
        <f>G103*H103</f>
        <v>0</v>
      </c>
      <c r="M103" s="38">
        <f>L103*(1+BW103/100)</f>
        <v>0</v>
      </c>
      <c r="N103" s="38">
        <v>2.724E-2</v>
      </c>
      <c r="O103" s="38">
        <f>G103*N103</f>
        <v>0.10896</v>
      </c>
      <c r="P103" s="40" t="s">
        <v>67</v>
      </c>
      <c r="Z103" s="38">
        <f>IF(AQ103="5",BJ103,0)</f>
        <v>0</v>
      </c>
      <c r="AB103" s="38">
        <f>IF(AQ103="1",BH103,0)</f>
        <v>0</v>
      </c>
      <c r="AC103" s="38">
        <f>IF(AQ103="1",BI103,0)</f>
        <v>0</v>
      </c>
      <c r="AD103" s="38">
        <f>IF(AQ103="7",BH103,0)</f>
        <v>0</v>
      </c>
      <c r="AE103" s="38">
        <f>IF(AQ103="7",BI103,0)</f>
        <v>0</v>
      </c>
      <c r="AF103" s="38">
        <f>IF(AQ103="2",BH103,0)</f>
        <v>0</v>
      </c>
      <c r="AG103" s="38">
        <f>IF(AQ103="2",BI103,0)</f>
        <v>0</v>
      </c>
      <c r="AH103" s="38">
        <f>IF(AQ103="0",BJ103,0)</f>
        <v>0</v>
      </c>
      <c r="AI103" s="13" t="s">
        <v>51</v>
      </c>
      <c r="AJ103" s="38">
        <f>IF(AN103=0,L103,0)</f>
        <v>0</v>
      </c>
      <c r="AK103" s="38">
        <f>IF(AN103=12,L103,0)</f>
        <v>0</v>
      </c>
      <c r="AL103" s="38">
        <f>IF(AN103=21,L103,0)</f>
        <v>0</v>
      </c>
      <c r="AN103" s="38">
        <v>21</v>
      </c>
      <c r="AO103" s="38">
        <f>H103*0.509</f>
        <v>0</v>
      </c>
      <c r="AP103" s="38">
        <f>H103*(1-0.509)</f>
        <v>0</v>
      </c>
      <c r="AQ103" s="39" t="s">
        <v>55</v>
      </c>
      <c r="AV103" s="38">
        <f>AW103+AX103</f>
        <v>0</v>
      </c>
      <c r="AW103" s="38">
        <f>G103*AO103</f>
        <v>0</v>
      </c>
      <c r="AX103" s="38">
        <f>G103*AP103</f>
        <v>0</v>
      </c>
      <c r="AY103" s="39" t="s">
        <v>273</v>
      </c>
      <c r="AZ103" s="39" t="s">
        <v>274</v>
      </c>
      <c r="BA103" s="13" t="s">
        <v>63</v>
      </c>
      <c r="BC103" s="38">
        <f>AW103+AX103</f>
        <v>0</v>
      </c>
      <c r="BD103" s="38">
        <f>H103/(100-BE103)*100</f>
        <v>0</v>
      </c>
      <c r="BE103" s="38">
        <v>0</v>
      </c>
      <c r="BF103" s="38">
        <f>O103</f>
        <v>0.10896</v>
      </c>
      <c r="BH103" s="38">
        <f>G103*AO103</f>
        <v>0</v>
      </c>
      <c r="BI103" s="38">
        <f>G103*AP103</f>
        <v>0</v>
      </c>
      <c r="BJ103" s="38">
        <f>G103*H103</f>
        <v>0</v>
      </c>
      <c r="BK103" s="38"/>
      <c r="BL103" s="38">
        <v>41</v>
      </c>
      <c r="BW103" s="38" t="str">
        <f>I103</f>
        <v>21</v>
      </c>
      <c r="BX103" s="5" t="s">
        <v>278</v>
      </c>
    </row>
    <row r="104" spans="1:76" x14ac:dyDescent="0.25">
      <c r="A104" s="2" t="s">
        <v>279</v>
      </c>
      <c r="B104" s="3" t="s">
        <v>51</v>
      </c>
      <c r="C104" s="3" t="s">
        <v>280</v>
      </c>
      <c r="D104" s="106" t="s">
        <v>281</v>
      </c>
      <c r="E104" s="107"/>
      <c r="F104" s="3" t="s">
        <v>83</v>
      </c>
      <c r="G104" s="38">
        <v>8.5075000000000003</v>
      </c>
      <c r="H104" s="98"/>
      <c r="I104" s="39" t="s">
        <v>59</v>
      </c>
      <c r="J104" s="38">
        <f>G104*AO104</f>
        <v>0</v>
      </c>
      <c r="K104" s="38">
        <f>G104*AP104</f>
        <v>0</v>
      </c>
      <c r="L104" s="38">
        <f>G104*H104</f>
        <v>0</v>
      </c>
      <c r="M104" s="38">
        <f>L104*(1+BW104/100)</f>
        <v>0</v>
      </c>
      <c r="N104" s="38">
        <v>0</v>
      </c>
      <c r="O104" s="38">
        <f>G104*N104</f>
        <v>0</v>
      </c>
      <c r="P104" s="40" t="s">
        <v>60</v>
      </c>
      <c r="Z104" s="38">
        <f>IF(AQ104="5",BJ104,0)</f>
        <v>0</v>
      </c>
      <c r="AB104" s="38">
        <f>IF(AQ104="1",BH104,0)</f>
        <v>0</v>
      </c>
      <c r="AC104" s="38">
        <f>IF(AQ104="1",BI104,0)</f>
        <v>0</v>
      </c>
      <c r="AD104" s="38">
        <f>IF(AQ104="7",BH104,0)</f>
        <v>0</v>
      </c>
      <c r="AE104" s="38">
        <f>IF(AQ104="7",BI104,0)</f>
        <v>0</v>
      </c>
      <c r="AF104" s="38">
        <f>IF(AQ104="2",BH104,0)</f>
        <v>0</v>
      </c>
      <c r="AG104" s="38">
        <f>IF(AQ104="2",BI104,0)</f>
        <v>0</v>
      </c>
      <c r="AH104" s="38">
        <f>IF(AQ104="0",BJ104,0)</f>
        <v>0</v>
      </c>
      <c r="AI104" s="13" t="s">
        <v>51</v>
      </c>
      <c r="AJ104" s="38">
        <f>IF(AN104=0,L104,0)</f>
        <v>0</v>
      </c>
      <c r="AK104" s="38">
        <f>IF(AN104=12,L104,0)</f>
        <v>0</v>
      </c>
      <c r="AL104" s="38">
        <f>IF(AN104=21,L104,0)</f>
        <v>0</v>
      </c>
      <c r="AN104" s="38">
        <v>21</v>
      </c>
      <c r="AO104" s="38">
        <f>H104*0</f>
        <v>0</v>
      </c>
      <c r="AP104" s="38">
        <f>H104*(1-0)</f>
        <v>0</v>
      </c>
      <c r="AQ104" s="39" t="s">
        <v>55</v>
      </c>
      <c r="AV104" s="38">
        <f>AW104+AX104</f>
        <v>0</v>
      </c>
      <c r="AW104" s="38">
        <f>G104*AO104</f>
        <v>0</v>
      </c>
      <c r="AX104" s="38">
        <f>G104*AP104</f>
        <v>0</v>
      </c>
      <c r="AY104" s="39" t="s">
        <v>273</v>
      </c>
      <c r="AZ104" s="39" t="s">
        <v>274</v>
      </c>
      <c r="BA104" s="13" t="s">
        <v>63</v>
      </c>
      <c r="BC104" s="38">
        <f>AW104+AX104</f>
        <v>0</v>
      </c>
      <c r="BD104" s="38">
        <f>H104/(100-BE104)*100</f>
        <v>0</v>
      </c>
      <c r="BE104" s="38">
        <v>0</v>
      </c>
      <c r="BF104" s="38">
        <f>O104</f>
        <v>0</v>
      </c>
      <c r="BH104" s="38">
        <f>G104*AO104</f>
        <v>0</v>
      </c>
      <c r="BI104" s="38">
        <f>G104*AP104</f>
        <v>0</v>
      </c>
      <c r="BJ104" s="38">
        <f>G104*H104</f>
        <v>0</v>
      </c>
      <c r="BK104" s="38"/>
      <c r="BL104" s="38">
        <v>41</v>
      </c>
      <c r="BW104" s="38" t="str">
        <f>I104</f>
        <v>21</v>
      </c>
      <c r="BX104" s="5" t="s">
        <v>281</v>
      </c>
    </row>
    <row r="105" spans="1:76" ht="38.25" x14ac:dyDescent="0.25">
      <c r="A105" s="41"/>
      <c r="C105" s="42" t="s">
        <v>78</v>
      </c>
      <c r="D105" s="178" t="s">
        <v>282</v>
      </c>
      <c r="E105" s="179"/>
      <c r="F105" s="179"/>
      <c r="G105" s="179"/>
      <c r="H105" s="179"/>
      <c r="I105" s="179"/>
      <c r="J105" s="179"/>
      <c r="K105" s="179"/>
      <c r="L105" s="179"/>
      <c r="M105" s="179"/>
      <c r="N105" s="179"/>
      <c r="O105" s="179"/>
      <c r="P105" s="180"/>
      <c r="BX105" s="43" t="s">
        <v>282</v>
      </c>
    </row>
    <row r="106" spans="1:76" x14ac:dyDescent="0.25">
      <c r="A106" s="2" t="s">
        <v>283</v>
      </c>
      <c r="B106" s="3" t="s">
        <v>51</v>
      </c>
      <c r="C106" s="3" t="s">
        <v>284</v>
      </c>
      <c r="D106" s="106" t="s">
        <v>285</v>
      </c>
      <c r="E106" s="107"/>
      <c r="F106" s="3" t="s">
        <v>83</v>
      </c>
      <c r="G106" s="38">
        <v>5.43</v>
      </c>
      <c r="H106" s="98"/>
      <c r="I106" s="39" t="s">
        <v>59</v>
      </c>
      <c r="J106" s="38">
        <f>G106*AO106</f>
        <v>0</v>
      </c>
      <c r="K106" s="38">
        <f>G106*AP106</f>
        <v>0</v>
      </c>
      <c r="L106" s="38">
        <f>G106*H106</f>
        <v>0</v>
      </c>
      <c r="M106" s="38">
        <f>L106*(1+BW106/100)</f>
        <v>0</v>
      </c>
      <c r="N106" s="38">
        <v>0</v>
      </c>
      <c r="O106" s="38">
        <f>G106*N106</f>
        <v>0</v>
      </c>
      <c r="P106" s="40" t="s">
        <v>60</v>
      </c>
      <c r="Z106" s="38">
        <f>IF(AQ106="5",BJ106,0)</f>
        <v>0</v>
      </c>
      <c r="AB106" s="38">
        <f>IF(AQ106="1",BH106,0)</f>
        <v>0</v>
      </c>
      <c r="AC106" s="38">
        <f>IF(AQ106="1",BI106,0)</f>
        <v>0</v>
      </c>
      <c r="AD106" s="38">
        <f>IF(AQ106="7",BH106,0)</f>
        <v>0</v>
      </c>
      <c r="AE106" s="38">
        <f>IF(AQ106="7",BI106,0)</f>
        <v>0</v>
      </c>
      <c r="AF106" s="38">
        <f>IF(AQ106="2",BH106,0)</f>
        <v>0</v>
      </c>
      <c r="AG106" s="38">
        <f>IF(AQ106="2",BI106,0)</f>
        <v>0</v>
      </c>
      <c r="AH106" s="38">
        <f>IF(AQ106="0",BJ106,0)</f>
        <v>0</v>
      </c>
      <c r="AI106" s="13" t="s">
        <v>51</v>
      </c>
      <c r="AJ106" s="38">
        <f>IF(AN106=0,L106,0)</f>
        <v>0</v>
      </c>
      <c r="AK106" s="38">
        <f>IF(AN106=12,L106,0)</f>
        <v>0</v>
      </c>
      <c r="AL106" s="38">
        <f>IF(AN106=21,L106,0)</f>
        <v>0</v>
      </c>
      <c r="AN106" s="38">
        <v>21</v>
      </c>
      <c r="AO106" s="38">
        <f>H106*0</f>
        <v>0</v>
      </c>
      <c r="AP106" s="38">
        <f>H106*(1-0)</f>
        <v>0</v>
      </c>
      <c r="AQ106" s="39" t="s">
        <v>55</v>
      </c>
      <c r="AV106" s="38">
        <f>AW106+AX106</f>
        <v>0</v>
      </c>
      <c r="AW106" s="38">
        <f>G106*AO106</f>
        <v>0</v>
      </c>
      <c r="AX106" s="38">
        <f>G106*AP106</f>
        <v>0</v>
      </c>
      <c r="AY106" s="39" t="s">
        <v>273</v>
      </c>
      <c r="AZ106" s="39" t="s">
        <v>274</v>
      </c>
      <c r="BA106" s="13" t="s">
        <v>63</v>
      </c>
      <c r="BC106" s="38">
        <f>AW106+AX106</f>
        <v>0</v>
      </c>
      <c r="BD106" s="38">
        <f>H106/(100-BE106)*100</f>
        <v>0</v>
      </c>
      <c r="BE106" s="38">
        <v>0</v>
      </c>
      <c r="BF106" s="38">
        <f>O106</f>
        <v>0</v>
      </c>
      <c r="BH106" s="38">
        <f>G106*AO106</f>
        <v>0</v>
      </c>
      <c r="BI106" s="38">
        <f>G106*AP106</f>
        <v>0</v>
      </c>
      <c r="BJ106" s="38">
        <f>G106*H106</f>
        <v>0</v>
      </c>
      <c r="BK106" s="38"/>
      <c r="BL106" s="38">
        <v>41</v>
      </c>
      <c r="BW106" s="38" t="str">
        <f>I106</f>
        <v>21</v>
      </c>
      <c r="BX106" s="5" t="s">
        <v>285</v>
      </c>
    </row>
    <row r="107" spans="1:76" ht="38.25" x14ac:dyDescent="0.25">
      <c r="A107" s="41"/>
      <c r="C107" s="42" t="s">
        <v>78</v>
      </c>
      <c r="D107" s="178" t="s">
        <v>286</v>
      </c>
      <c r="E107" s="179"/>
      <c r="F107" s="179"/>
      <c r="G107" s="179"/>
      <c r="H107" s="179"/>
      <c r="I107" s="179"/>
      <c r="J107" s="179"/>
      <c r="K107" s="179"/>
      <c r="L107" s="179"/>
      <c r="M107" s="179"/>
      <c r="N107" s="179"/>
      <c r="O107" s="179"/>
      <c r="P107" s="180"/>
      <c r="BX107" s="43" t="s">
        <v>286</v>
      </c>
    </row>
    <row r="108" spans="1:76" x14ac:dyDescent="0.25">
      <c r="A108" s="2" t="s">
        <v>287</v>
      </c>
      <c r="B108" s="3" t="s">
        <v>51</v>
      </c>
      <c r="C108" s="3" t="s">
        <v>267</v>
      </c>
      <c r="D108" s="106" t="s">
        <v>268</v>
      </c>
      <c r="E108" s="107"/>
      <c r="F108" s="3" t="s">
        <v>166</v>
      </c>
      <c r="G108" s="38">
        <v>0.46013999999999999</v>
      </c>
      <c r="H108" s="98"/>
      <c r="I108" s="39" t="s">
        <v>59</v>
      </c>
      <c r="J108" s="38">
        <f>G108*AO108</f>
        <v>0</v>
      </c>
      <c r="K108" s="38">
        <f>G108*AP108</f>
        <v>0</v>
      </c>
      <c r="L108" s="38">
        <f>G108*H108</f>
        <v>0</v>
      </c>
      <c r="M108" s="38">
        <f>L108*(1+BW108/100)</f>
        <v>0</v>
      </c>
      <c r="N108" s="38">
        <v>0</v>
      </c>
      <c r="O108" s="38">
        <f>G108*N108</f>
        <v>0</v>
      </c>
      <c r="P108" s="40" t="s">
        <v>60</v>
      </c>
      <c r="Z108" s="38">
        <f>IF(AQ108="5",BJ108,0)</f>
        <v>0</v>
      </c>
      <c r="AB108" s="38">
        <f>IF(AQ108="1",BH108,0)</f>
        <v>0</v>
      </c>
      <c r="AC108" s="38">
        <f>IF(AQ108="1",BI108,0)</f>
        <v>0</v>
      </c>
      <c r="AD108" s="38">
        <f>IF(AQ108="7",BH108,0)</f>
        <v>0</v>
      </c>
      <c r="AE108" s="38">
        <f>IF(AQ108="7",BI108,0)</f>
        <v>0</v>
      </c>
      <c r="AF108" s="38">
        <f>IF(AQ108="2",BH108,0)</f>
        <v>0</v>
      </c>
      <c r="AG108" s="38">
        <f>IF(AQ108="2",BI108,0)</f>
        <v>0</v>
      </c>
      <c r="AH108" s="38">
        <f>IF(AQ108="0",BJ108,0)</f>
        <v>0</v>
      </c>
      <c r="AI108" s="13" t="s">
        <v>51</v>
      </c>
      <c r="AJ108" s="38">
        <f>IF(AN108=0,L108,0)</f>
        <v>0</v>
      </c>
      <c r="AK108" s="38">
        <f>IF(AN108=12,L108,0)</f>
        <v>0</v>
      </c>
      <c r="AL108" s="38">
        <f>IF(AN108=21,L108,0)</f>
        <v>0</v>
      </c>
      <c r="AN108" s="38">
        <v>21</v>
      </c>
      <c r="AO108" s="38">
        <f>H108*0</f>
        <v>0</v>
      </c>
      <c r="AP108" s="38">
        <f>H108*(1-0)</f>
        <v>0</v>
      </c>
      <c r="AQ108" s="39" t="s">
        <v>80</v>
      </c>
      <c r="AV108" s="38">
        <f>AW108+AX108</f>
        <v>0</v>
      </c>
      <c r="AW108" s="38">
        <f>G108*AO108</f>
        <v>0</v>
      </c>
      <c r="AX108" s="38">
        <f>G108*AP108</f>
        <v>0</v>
      </c>
      <c r="AY108" s="39" t="s">
        <v>273</v>
      </c>
      <c r="AZ108" s="39" t="s">
        <v>274</v>
      </c>
      <c r="BA108" s="13" t="s">
        <v>63</v>
      </c>
      <c r="BC108" s="38">
        <f>AW108+AX108</f>
        <v>0</v>
      </c>
      <c r="BD108" s="38">
        <f>H108/(100-BE108)*100</f>
        <v>0</v>
      </c>
      <c r="BE108" s="38">
        <v>0</v>
      </c>
      <c r="BF108" s="38">
        <f>O108</f>
        <v>0</v>
      </c>
      <c r="BH108" s="38">
        <f>G108*AO108</f>
        <v>0</v>
      </c>
      <c r="BI108" s="38">
        <f>G108*AP108</f>
        <v>0</v>
      </c>
      <c r="BJ108" s="38">
        <f>G108*H108</f>
        <v>0</v>
      </c>
      <c r="BK108" s="38"/>
      <c r="BL108" s="38">
        <v>41</v>
      </c>
      <c r="BW108" s="38" t="str">
        <f>I108</f>
        <v>21</v>
      </c>
      <c r="BX108" s="5" t="s">
        <v>268</v>
      </c>
    </row>
    <row r="109" spans="1:76" x14ac:dyDescent="0.25">
      <c r="A109" s="33" t="s">
        <v>50</v>
      </c>
      <c r="B109" s="34" t="s">
        <v>51</v>
      </c>
      <c r="C109" s="34" t="s">
        <v>266</v>
      </c>
      <c r="D109" s="174" t="s">
        <v>288</v>
      </c>
      <c r="E109" s="175"/>
      <c r="F109" s="36" t="s">
        <v>4</v>
      </c>
      <c r="G109" s="36" t="s">
        <v>4</v>
      </c>
      <c r="H109" s="36" t="s">
        <v>4</v>
      </c>
      <c r="I109" s="36" t="s">
        <v>4</v>
      </c>
      <c r="J109" s="1">
        <f>SUM(J110:J117)</f>
        <v>0</v>
      </c>
      <c r="K109" s="1">
        <f>SUM(K110:K117)</f>
        <v>0</v>
      </c>
      <c r="L109" s="1">
        <f>SUM(L110:L117)</f>
        <v>0</v>
      </c>
      <c r="M109" s="1">
        <f>SUM(M110:M117)</f>
        <v>0</v>
      </c>
      <c r="N109" s="13" t="s">
        <v>50</v>
      </c>
      <c r="O109" s="1">
        <f>SUM(O110:O117)</f>
        <v>1.1181067339999999</v>
      </c>
      <c r="P109" s="37" t="s">
        <v>50</v>
      </c>
      <c r="AI109" s="13" t="s">
        <v>51</v>
      </c>
      <c r="AS109" s="1">
        <f>SUM(AJ110:AJ117)</f>
        <v>0</v>
      </c>
      <c r="AT109" s="1">
        <f>SUM(AK110:AK117)</f>
        <v>0</v>
      </c>
      <c r="AU109" s="1">
        <f>SUM(AL110:AL117)</f>
        <v>0</v>
      </c>
    </row>
    <row r="110" spans="1:76" x14ac:dyDescent="0.25">
      <c r="A110" s="2" t="s">
        <v>289</v>
      </c>
      <c r="B110" s="3" t="s">
        <v>51</v>
      </c>
      <c r="C110" s="3" t="s">
        <v>290</v>
      </c>
      <c r="D110" s="106" t="s">
        <v>291</v>
      </c>
      <c r="E110" s="107"/>
      <c r="F110" s="3" t="s">
        <v>83</v>
      </c>
      <c r="G110" s="38">
        <v>142.40020000000001</v>
      </c>
      <c r="H110" s="98"/>
      <c r="I110" s="39" t="s">
        <v>59</v>
      </c>
      <c r="J110" s="38">
        <f>G110*AO110</f>
        <v>0</v>
      </c>
      <c r="K110" s="38">
        <f>G110*AP110</f>
        <v>0</v>
      </c>
      <c r="L110" s="38">
        <f>G110*H110</f>
        <v>0</v>
      </c>
      <c r="M110" s="38">
        <f>L110*(1+BW110/100)</f>
        <v>0</v>
      </c>
      <c r="N110" s="38">
        <v>3.6700000000000001E-3</v>
      </c>
      <c r="O110" s="38">
        <f>G110*N110</f>
        <v>0.52260873400000007</v>
      </c>
      <c r="P110" s="40" t="s">
        <v>60</v>
      </c>
      <c r="Z110" s="38">
        <f>IF(AQ110="5",BJ110,0)</f>
        <v>0</v>
      </c>
      <c r="AB110" s="38">
        <f>IF(AQ110="1",BH110,0)</f>
        <v>0</v>
      </c>
      <c r="AC110" s="38">
        <f>IF(AQ110="1",BI110,0)</f>
        <v>0</v>
      </c>
      <c r="AD110" s="38">
        <f>IF(AQ110="7",BH110,0)</f>
        <v>0</v>
      </c>
      <c r="AE110" s="38">
        <f>IF(AQ110="7",BI110,0)</f>
        <v>0</v>
      </c>
      <c r="AF110" s="38">
        <f>IF(AQ110="2",BH110,0)</f>
        <v>0</v>
      </c>
      <c r="AG110" s="38">
        <f>IF(AQ110="2",BI110,0)</f>
        <v>0</v>
      </c>
      <c r="AH110" s="38">
        <f>IF(AQ110="0",BJ110,0)</f>
        <v>0</v>
      </c>
      <c r="AI110" s="13" t="s">
        <v>51</v>
      </c>
      <c r="AJ110" s="38">
        <f>IF(AN110=0,L110,0)</f>
        <v>0</v>
      </c>
      <c r="AK110" s="38">
        <f>IF(AN110=12,L110,0)</f>
        <v>0</v>
      </c>
      <c r="AL110" s="38">
        <f>IF(AN110=21,L110,0)</f>
        <v>0</v>
      </c>
      <c r="AN110" s="38">
        <v>21</v>
      </c>
      <c r="AO110" s="38">
        <f>H110*0.265633826</f>
        <v>0</v>
      </c>
      <c r="AP110" s="38">
        <f>H110*(1-0.265633826)</f>
        <v>0</v>
      </c>
      <c r="AQ110" s="39" t="s">
        <v>55</v>
      </c>
      <c r="AV110" s="38">
        <f>AW110+AX110</f>
        <v>0</v>
      </c>
      <c r="AW110" s="38">
        <f>G110*AO110</f>
        <v>0</v>
      </c>
      <c r="AX110" s="38">
        <f>G110*AP110</f>
        <v>0</v>
      </c>
      <c r="AY110" s="39" t="s">
        <v>292</v>
      </c>
      <c r="AZ110" s="39" t="s">
        <v>293</v>
      </c>
      <c r="BA110" s="13" t="s">
        <v>63</v>
      </c>
      <c r="BC110" s="38">
        <f>AW110+AX110</f>
        <v>0</v>
      </c>
      <c r="BD110" s="38">
        <f>H110/(100-BE110)*100</f>
        <v>0</v>
      </c>
      <c r="BE110" s="38">
        <v>0</v>
      </c>
      <c r="BF110" s="38">
        <f>O110</f>
        <v>0.52260873400000007</v>
      </c>
      <c r="BH110" s="38">
        <f>G110*AO110</f>
        <v>0</v>
      </c>
      <c r="BI110" s="38">
        <f>G110*AP110</f>
        <v>0</v>
      </c>
      <c r="BJ110" s="38">
        <f>G110*H110</f>
        <v>0</v>
      </c>
      <c r="BK110" s="38"/>
      <c r="BL110" s="38">
        <v>61</v>
      </c>
      <c r="BW110" s="38" t="str">
        <f>I110</f>
        <v>21</v>
      </c>
      <c r="BX110" s="5" t="s">
        <v>291</v>
      </c>
    </row>
    <row r="111" spans="1:76" ht="13.5" customHeight="1" x14ac:dyDescent="0.25">
      <c r="A111" s="41"/>
      <c r="C111" s="42" t="s">
        <v>97</v>
      </c>
      <c r="D111" s="178" t="s">
        <v>294</v>
      </c>
      <c r="E111" s="179"/>
      <c r="F111" s="179"/>
      <c r="G111" s="179"/>
      <c r="H111" s="179"/>
      <c r="I111" s="179"/>
      <c r="J111" s="179"/>
      <c r="K111" s="179"/>
      <c r="L111" s="179"/>
      <c r="M111" s="179"/>
      <c r="N111" s="179"/>
      <c r="O111" s="179"/>
      <c r="P111" s="180"/>
    </row>
    <row r="112" spans="1:76" x14ac:dyDescent="0.25">
      <c r="A112" s="2" t="s">
        <v>295</v>
      </c>
      <c r="B112" s="3" t="s">
        <v>51</v>
      </c>
      <c r="C112" s="3" t="s">
        <v>296</v>
      </c>
      <c r="D112" s="106" t="s">
        <v>297</v>
      </c>
      <c r="E112" s="107"/>
      <c r="F112" s="3" t="s">
        <v>83</v>
      </c>
      <c r="G112" s="38">
        <v>2.3199999999999998</v>
      </c>
      <c r="H112" s="98"/>
      <c r="I112" s="39" t="s">
        <v>59</v>
      </c>
      <c r="J112" s="38">
        <f>G112*AO112</f>
        <v>0</v>
      </c>
      <c r="K112" s="38">
        <f>G112*AP112</f>
        <v>0</v>
      </c>
      <c r="L112" s="38">
        <f>G112*H112</f>
        <v>0</v>
      </c>
      <c r="M112" s="38">
        <f>L112*(1+BW112/100)</f>
        <v>0</v>
      </c>
      <c r="N112" s="38">
        <v>4.1999999999999997E-3</v>
      </c>
      <c r="O112" s="38">
        <f>G112*N112</f>
        <v>9.7439999999999992E-3</v>
      </c>
      <c r="P112" s="40" t="s">
        <v>60</v>
      </c>
      <c r="Z112" s="38">
        <f>IF(AQ112="5",BJ112,0)</f>
        <v>0</v>
      </c>
      <c r="AB112" s="38">
        <f>IF(AQ112="1",BH112,0)</f>
        <v>0</v>
      </c>
      <c r="AC112" s="38">
        <f>IF(AQ112="1",BI112,0)</f>
        <v>0</v>
      </c>
      <c r="AD112" s="38">
        <f>IF(AQ112="7",BH112,0)</f>
        <v>0</v>
      </c>
      <c r="AE112" s="38">
        <f>IF(AQ112="7",BI112,0)</f>
        <v>0</v>
      </c>
      <c r="AF112" s="38">
        <f>IF(AQ112="2",BH112,0)</f>
        <v>0</v>
      </c>
      <c r="AG112" s="38">
        <f>IF(AQ112="2",BI112,0)</f>
        <v>0</v>
      </c>
      <c r="AH112" s="38">
        <f>IF(AQ112="0",BJ112,0)</f>
        <v>0</v>
      </c>
      <c r="AI112" s="13" t="s">
        <v>51</v>
      </c>
      <c r="AJ112" s="38">
        <f>IF(AN112=0,L112,0)</f>
        <v>0</v>
      </c>
      <c r="AK112" s="38">
        <f>IF(AN112=12,L112,0)</f>
        <v>0</v>
      </c>
      <c r="AL112" s="38">
        <f>IF(AN112=21,L112,0)</f>
        <v>0</v>
      </c>
      <c r="AN112" s="38">
        <v>21</v>
      </c>
      <c r="AO112" s="38">
        <f>H112*0.270995763</f>
        <v>0</v>
      </c>
      <c r="AP112" s="38">
        <f>H112*(1-0.270995763)</f>
        <v>0</v>
      </c>
      <c r="AQ112" s="39" t="s">
        <v>55</v>
      </c>
      <c r="AV112" s="38">
        <f>AW112+AX112</f>
        <v>0</v>
      </c>
      <c r="AW112" s="38">
        <f>G112*AO112</f>
        <v>0</v>
      </c>
      <c r="AX112" s="38">
        <f>G112*AP112</f>
        <v>0</v>
      </c>
      <c r="AY112" s="39" t="s">
        <v>292</v>
      </c>
      <c r="AZ112" s="39" t="s">
        <v>293</v>
      </c>
      <c r="BA112" s="13" t="s">
        <v>63</v>
      </c>
      <c r="BC112" s="38">
        <f>AW112+AX112</f>
        <v>0</v>
      </c>
      <c r="BD112" s="38">
        <f>H112/(100-BE112)*100</f>
        <v>0</v>
      </c>
      <c r="BE112" s="38">
        <v>0</v>
      </c>
      <c r="BF112" s="38">
        <f>O112</f>
        <v>9.7439999999999992E-3</v>
      </c>
      <c r="BH112" s="38">
        <f>G112*AO112</f>
        <v>0</v>
      </c>
      <c r="BI112" s="38">
        <f>G112*AP112</f>
        <v>0</v>
      </c>
      <c r="BJ112" s="38">
        <f>G112*H112</f>
        <v>0</v>
      </c>
      <c r="BK112" s="38"/>
      <c r="BL112" s="38">
        <v>61</v>
      </c>
      <c r="BW112" s="38" t="str">
        <f>I112</f>
        <v>21</v>
      </c>
      <c r="BX112" s="5" t="s">
        <v>297</v>
      </c>
    </row>
    <row r="113" spans="1:76" ht="13.5" customHeight="1" x14ac:dyDescent="0.25">
      <c r="A113" s="41"/>
      <c r="C113" s="42" t="s">
        <v>97</v>
      </c>
      <c r="D113" s="178" t="s">
        <v>298</v>
      </c>
      <c r="E113" s="179"/>
      <c r="F113" s="179"/>
      <c r="G113" s="179"/>
      <c r="H113" s="179"/>
      <c r="I113" s="179"/>
      <c r="J113" s="179"/>
      <c r="K113" s="179"/>
      <c r="L113" s="179"/>
      <c r="M113" s="179"/>
      <c r="N113" s="179"/>
      <c r="O113" s="179"/>
      <c r="P113" s="180"/>
    </row>
    <row r="114" spans="1:76" ht="25.5" x14ac:dyDescent="0.25">
      <c r="A114" s="41"/>
      <c r="C114" s="42" t="s">
        <v>78</v>
      </c>
      <c r="D114" s="181" t="s">
        <v>817</v>
      </c>
      <c r="E114" s="179"/>
      <c r="F114" s="179"/>
      <c r="G114" s="179"/>
      <c r="H114" s="179"/>
      <c r="I114" s="179"/>
      <c r="J114" s="179"/>
      <c r="K114" s="179"/>
      <c r="L114" s="179"/>
      <c r="M114" s="179"/>
      <c r="N114" s="179"/>
      <c r="O114" s="179"/>
      <c r="P114" s="180"/>
      <c r="BX114" s="43" t="s">
        <v>299</v>
      </c>
    </row>
    <row r="115" spans="1:76" x14ac:dyDescent="0.25">
      <c r="A115" s="2" t="s">
        <v>300</v>
      </c>
      <c r="B115" s="3" t="s">
        <v>51</v>
      </c>
      <c r="C115" s="3" t="s">
        <v>301</v>
      </c>
      <c r="D115" s="106" t="s">
        <v>302</v>
      </c>
      <c r="E115" s="107"/>
      <c r="F115" s="3" t="s">
        <v>108</v>
      </c>
      <c r="G115" s="38">
        <v>33.799999999999997</v>
      </c>
      <c r="H115" s="98"/>
      <c r="I115" s="39" t="s">
        <v>59</v>
      </c>
      <c r="J115" s="38">
        <f>G115*AO115</f>
        <v>0</v>
      </c>
      <c r="K115" s="38">
        <f>G115*AP115</f>
        <v>0</v>
      </c>
      <c r="L115" s="38">
        <f>G115*H115</f>
        <v>0</v>
      </c>
      <c r="M115" s="38">
        <f>L115*(1+BW115/100)</f>
        <v>0</v>
      </c>
      <c r="N115" s="38">
        <v>1.7330000000000002E-2</v>
      </c>
      <c r="O115" s="38">
        <f>G115*N115</f>
        <v>0.585754</v>
      </c>
      <c r="P115" s="40" t="s">
        <v>60</v>
      </c>
      <c r="Z115" s="38">
        <f>IF(AQ115="5",BJ115,0)</f>
        <v>0</v>
      </c>
      <c r="AB115" s="38">
        <f>IF(AQ115="1",BH115,0)</f>
        <v>0</v>
      </c>
      <c r="AC115" s="38">
        <f>IF(AQ115="1",BI115,0)</f>
        <v>0</v>
      </c>
      <c r="AD115" s="38">
        <f>IF(AQ115="7",BH115,0)</f>
        <v>0</v>
      </c>
      <c r="AE115" s="38">
        <f>IF(AQ115="7",BI115,0)</f>
        <v>0</v>
      </c>
      <c r="AF115" s="38">
        <f>IF(AQ115="2",BH115,0)</f>
        <v>0</v>
      </c>
      <c r="AG115" s="38">
        <f>IF(AQ115="2",BI115,0)</f>
        <v>0</v>
      </c>
      <c r="AH115" s="38">
        <f>IF(AQ115="0",BJ115,0)</f>
        <v>0</v>
      </c>
      <c r="AI115" s="13" t="s">
        <v>51</v>
      </c>
      <c r="AJ115" s="38">
        <f>IF(AN115=0,L115,0)</f>
        <v>0</v>
      </c>
      <c r="AK115" s="38">
        <f>IF(AN115=12,L115,0)</f>
        <v>0</v>
      </c>
      <c r="AL115" s="38">
        <f>IF(AN115=21,L115,0)</f>
        <v>0</v>
      </c>
      <c r="AN115" s="38">
        <v>21</v>
      </c>
      <c r="AO115" s="38">
        <f>H115*0.420807287</f>
        <v>0</v>
      </c>
      <c r="AP115" s="38">
        <f>H115*(1-0.420807287)</f>
        <v>0</v>
      </c>
      <c r="AQ115" s="39" t="s">
        <v>55</v>
      </c>
      <c r="AV115" s="38">
        <f>AW115+AX115</f>
        <v>0</v>
      </c>
      <c r="AW115" s="38">
        <f>G115*AO115</f>
        <v>0</v>
      </c>
      <c r="AX115" s="38">
        <f>G115*AP115</f>
        <v>0</v>
      </c>
      <c r="AY115" s="39" t="s">
        <v>292</v>
      </c>
      <c r="AZ115" s="39" t="s">
        <v>293</v>
      </c>
      <c r="BA115" s="13" t="s">
        <v>63</v>
      </c>
      <c r="BC115" s="38">
        <f>AW115+AX115</f>
        <v>0</v>
      </c>
      <c r="BD115" s="38">
        <f>H115/(100-BE115)*100</f>
        <v>0</v>
      </c>
      <c r="BE115" s="38">
        <v>0</v>
      </c>
      <c r="BF115" s="38">
        <f>O115</f>
        <v>0.585754</v>
      </c>
      <c r="BH115" s="38">
        <f>G115*AO115</f>
        <v>0</v>
      </c>
      <c r="BI115" s="38">
        <f>G115*AP115</f>
        <v>0</v>
      </c>
      <c r="BJ115" s="38">
        <f>G115*H115</f>
        <v>0</v>
      </c>
      <c r="BK115" s="38"/>
      <c r="BL115" s="38">
        <v>61</v>
      </c>
      <c r="BW115" s="38" t="str">
        <f>I115</f>
        <v>21</v>
      </c>
      <c r="BX115" s="5" t="s">
        <v>302</v>
      </c>
    </row>
    <row r="116" spans="1:76" ht="13.5" customHeight="1" x14ac:dyDescent="0.25">
      <c r="A116" s="41"/>
      <c r="C116" s="42" t="s">
        <v>97</v>
      </c>
      <c r="D116" s="178" t="s">
        <v>303</v>
      </c>
      <c r="E116" s="179"/>
      <c r="F116" s="179"/>
      <c r="G116" s="179"/>
      <c r="H116" s="179"/>
      <c r="I116" s="179"/>
      <c r="J116" s="179"/>
      <c r="K116" s="179"/>
      <c r="L116" s="179"/>
      <c r="M116" s="179"/>
      <c r="N116" s="179"/>
      <c r="O116" s="179"/>
      <c r="P116" s="180"/>
    </row>
    <row r="117" spans="1:76" x14ac:dyDescent="0.25">
      <c r="A117" s="2" t="s">
        <v>304</v>
      </c>
      <c r="B117" s="3" t="s">
        <v>51</v>
      </c>
      <c r="C117" s="3" t="s">
        <v>267</v>
      </c>
      <c r="D117" s="106" t="s">
        <v>268</v>
      </c>
      <c r="E117" s="107"/>
      <c r="F117" s="3" t="s">
        <v>166</v>
      </c>
      <c r="G117" s="38">
        <v>1.1181099999999999</v>
      </c>
      <c r="H117" s="98"/>
      <c r="I117" s="39" t="s">
        <v>59</v>
      </c>
      <c r="J117" s="38">
        <f>G117*AO117</f>
        <v>0</v>
      </c>
      <c r="K117" s="38">
        <f>G117*AP117</f>
        <v>0</v>
      </c>
      <c r="L117" s="38">
        <f>G117*H117</f>
        <v>0</v>
      </c>
      <c r="M117" s="38">
        <f>L117*(1+BW117/100)</f>
        <v>0</v>
      </c>
      <c r="N117" s="38">
        <v>0</v>
      </c>
      <c r="O117" s="38">
        <f>G117*N117</f>
        <v>0</v>
      </c>
      <c r="P117" s="40" t="s">
        <v>60</v>
      </c>
      <c r="Z117" s="38">
        <f>IF(AQ117="5",BJ117,0)</f>
        <v>0</v>
      </c>
      <c r="AB117" s="38">
        <f>IF(AQ117="1",BH117,0)</f>
        <v>0</v>
      </c>
      <c r="AC117" s="38">
        <f>IF(AQ117="1",BI117,0)</f>
        <v>0</v>
      </c>
      <c r="AD117" s="38">
        <f>IF(AQ117="7",BH117,0)</f>
        <v>0</v>
      </c>
      <c r="AE117" s="38">
        <f>IF(AQ117="7",BI117,0)</f>
        <v>0</v>
      </c>
      <c r="AF117" s="38">
        <f>IF(AQ117="2",BH117,0)</f>
        <v>0</v>
      </c>
      <c r="AG117" s="38">
        <f>IF(AQ117="2",BI117,0)</f>
        <v>0</v>
      </c>
      <c r="AH117" s="38">
        <f>IF(AQ117="0",BJ117,0)</f>
        <v>0</v>
      </c>
      <c r="AI117" s="13" t="s">
        <v>51</v>
      </c>
      <c r="AJ117" s="38">
        <f>IF(AN117=0,L117,0)</f>
        <v>0</v>
      </c>
      <c r="AK117" s="38">
        <f>IF(AN117=12,L117,0)</f>
        <v>0</v>
      </c>
      <c r="AL117" s="38">
        <f>IF(AN117=21,L117,0)</f>
        <v>0</v>
      </c>
      <c r="AN117" s="38">
        <v>21</v>
      </c>
      <c r="AO117" s="38">
        <f>H117*0</f>
        <v>0</v>
      </c>
      <c r="AP117" s="38">
        <f>H117*(1-0)</f>
        <v>0</v>
      </c>
      <c r="AQ117" s="39" t="s">
        <v>80</v>
      </c>
      <c r="AV117" s="38">
        <f>AW117+AX117</f>
        <v>0</v>
      </c>
      <c r="AW117" s="38">
        <f>G117*AO117</f>
        <v>0</v>
      </c>
      <c r="AX117" s="38">
        <f>G117*AP117</f>
        <v>0</v>
      </c>
      <c r="AY117" s="39" t="s">
        <v>292</v>
      </c>
      <c r="AZ117" s="39" t="s">
        <v>293</v>
      </c>
      <c r="BA117" s="13" t="s">
        <v>63</v>
      </c>
      <c r="BC117" s="38">
        <f>AW117+AX117</f>
        <v>0</v>
      </c>
      <c r="BD117" s="38">
        <f>H117/(100-BE117)*100</f>
        <v>0</v>
      </c>
      <c r="BE117" s="38">
        <v>0</v>
      </c>
      <c r="BF117" s="38">
        <f>O117</f>
        <v>0</v>
      </c>
      <c r="BH117" s="38">
        <f>G117*AO117</f>
        <v>0</v>
      </c>
      <c r="BI117" s="38">
        <f>G117*AP117</f>
        <v>0</v>
      </c>
      <c r="BJ117" s="38">
        <f>G117*H117</f>
        <v>0</v>
      </c>
      <c r="BK117" s="38"/>
      <c r="BL117" s="38">
        <v>61</v>
      </c>
      <c r="BW117" s="38" t="str">
        <f>I117</f>
        <v>21</v>
      </c>
      <c r="BX117" s="5" t="s">
        <v>268</v>
      </c>
    </row>
    <row r="118" spans="1:76" x14ac:dyDescent="0.25">
      <c r="A118" s="33" t="s">
        <v>50</v>
      </c>
      <c r="B118" s="34" t="s">
        <v>51</v>
      </c>
      <c r="C118" s="34" t="s">
        <v>276</v>
      </c>
      <c r="D118" s="174" t="s">
        <v>305</v>
      </c>
      <c r="E118" s="175"/>
      <c r="F118" s="36" t="s">
        <v>4</v>
      </c>
      <c r="G118" s="36" t="s">
        <v>4</v>
      </c>
      <c r="H118" s="36" t="s">
        <v>4</v>
      </c>
      <c r="I118" s="36" t="s">
        <v>4</v>
      </c>
      <c r="J118" s="1">
        <f>SUM(J119:J121)</f>
        <v>0</v>
      </c>
      <c r="K118" s="1">
        <f>SUM(K119:K121)</f>
        <v>0</v>
      </c>
      <c r="L118" s="1">
        <f>SUM(L119:L121)</f>
        <v>0</v>
      </c>
      <c r="M118" s="1">
        <f>SUM(M119:M121)</f>
        <v>0</v>
      </c>
      <c r="N118" s="13" t="s">
        <v>50</v>
      </c>
      <c r="O118" s="1">
        <f>SUM(O119:O121)</f>
        <v>1.2535718000000002</v>
      </c>
      <c r="P118" s="37" t="s">
        <v>50</v>
      </c>
      <c r="AI118" s="13" t="s">
        <v>51</v>
      </c>
      <c r="AS118" s="1">
        <f>SUM(AJ119:AJ121)</f>
        <v>0</v>
      </c>
      <c r="AT118" s="1">
        <f>SUM(AK119:AK121)</f>
        <v>0</v>
      </c>
      <c r="AU118" s="1">
        <f>SUM(AL119:AL121)</f>
        <v>0</v>
      </c>
    </row>
    <row r="119" spans="1:76" x14ac:dyDescent="0.25">
      <c r="A119" s="2" t="s">
        <v>306</v>
      </c>
      <c r="B119" s="3" t="s">
        <v>51</v>
      </c>
      <c r="C119" s="3" t="s">
        <v>307</v>
      </c>
      <c r="D119" s="106" t="s">
        <v>308</v>
      </c>
      <c r="E119" s="107"/>
      <c r="F119" s="3" t="s">
        <v>83</v>
      </c>
      <c r="G119" s="38">
        <v>46.81</v>
      </c>
      <c r="H119" s="98"/>
      <c r="I119" s="39" t="s">
        <v>59</v>
      </c>
      <c r="J119" s="38">
        <f>G119*AO119</f>
        <v>0</v>
      </c>
      <c r="K119" s="38">
        <f>G119*AP119</f>
        <v>0</v>
      </c>
      <c r="L119" s="38">
        <f>G119*H119</f>
        <v>0</v>
      </c>
      <c r="M119" s="38">
        <f>L119*(1+BW119/100)</f>
        <v>0</v>
      </c>
      <c r="N119" s="38">
        <v>0</v>
      </c>
      <c r="O119" s="38">
        <f>G119*N119</f>
        <v>0</v>
      </c>
      <c r="P119" s="40" t="s">
        <v>60</v>
      </c>
      <c r="Z119" s="38">
        <f>IF(AQ119="5",BJ119,0)</f>
        <v>0</v>
      </c>
      <c r="AB119" s="38">
        <f>IF(AQ119="1",BH119,0)</f>
        <v>0</v>
      </c>
      <c r="AC119" s="38">
        <f>IF(AQ119="1",BI119,0)</f>
        <v>0</v>
      </c>
      <c r="AD119" s="38">
        <f>IF(AQ119="7",BH119,0)</f>
        <v>0</v>
      </c>
      <c r="AE119" s="38">
        <f>IF(AQ119="7",BI119,0)</f>
        <v>0</v>
      </c>
      <c r="AF119" s="38">
        <f>IF(AQ119="2",BH119,0)</f>
        <v>0</v>
      </c>
      <c r="AG119" s="38">
        <f>IF(AQ119="2",BI119,0)</f>
        <v>0</v>
      </c>
      <c r="AH119" s="38">
        <f>IF(AQ119="0",BJ119,0)</f>
        <v>0</v>
      </c>
      <c r="AI119" s="13" t="s">
        <v>51</v>
      </c>
      <c r="AJ119" s="38">
        <f>IF(AN119=0,L119,0)</f>
        <v>0</v>
      </c>
      <c r="AK119" s="38">
        <f>IF(AN119=12,L119,0)</f>
        <v>0</v>
      </c>
      <c r="AL119" s="38">
        <f>IF(AN119=21,L119,0)</f>
        <v>0</v>
      </c>
      <c r="AN119" s="38">
        <v>21</v>
      </c>
      <c r="AO119" s="38">
        <f>H119*0</f>
        <v>0</v>
      </c>
      <c r="AP119" s="38">
        <f>H119*(1-0)</f>
        <v>0</v>
      </c>
      <c r="AQ119" s="39" t="s">
        <v>55</v>
      </c>
      <c r="AV119" s="38">
        <f>AW119+AX119</f>
        <v>0</v>
      </c>
      <c r="AW119" s="38">
        <f>G119*AO119</f>
        <v>0</v>
      </c>
      <c r="AX119" s="38">
        <f>G119*AP119</f>
        <v>0</v>
      </c>
      <c r="AY119" s="39" t="s">
        <v>309</v>
      </c>
      <c r="AZ119" s="39" t="s">
        <v>293</v>
      </c>
      <c r="BA119" s="13" t="s">
        <v>63</v>
      </c>
      <c r="BC119" s="38">
        <f>AW119+AX119</f>
        <v>0</v>
      </c>
      <c r="BD119" s="38">
        <f>H119/(100-BE119)*100</f>
        <v>0</v>
      </c>
      <c r="BE119" s="38">
        <v>0</v>
      </c>
      <c r="BF119" s="38">
        <f>O119</f>
        <v>0</v>
      </c>
      <c r="BH119" s="38">
        <f>G119*AO119</f>
        <v>0</v>
      </c>
      <c r="BI119" s="38">
        <f>G119*AP119</f>
        <v>0</v>
      </c>
      <c r="BJ119" s="38">
        <f>G119*H119</f>
        <v>0</v>
      </c>
      <c r="BK119" s="38"/>
      <c r="BL119" s="38">
        <v>63</v>
      </c>
      <c r="BW119" s="38" t="str">
        <f>I119</f>
        <v>21</v>
      </c>
      <c r="BX119" s="5" t="s">
        <v>308</v>
      </c>
    </row>
    <row r="120" spans="1:76" x14ac:dyDescent="0.25">
      <c r="A120" s="2" t="s">
        <v>310</v>
      </c>
      <c r="B120" s="3" t="s">
        <v>51</v>
      </c>
      <c r="C120" s="3" t="s">
        <v>311</v>
      </c>
      <c r="D120" s="106" t="s">
        <v>312</v>
      </c>
      <c r="E120" s="107"/>
      <c r="F120" s="3" t="s">
        <v>83</v>
      </c>
      <c r="G120" s="38">
        <v>46.81</v>
      </c>
      <c r="H120" s="98"/>
      <c r="I120" s="39" t="s">
        <v>59</v>
      </c>
      <c r="J120" s="38">
        <f>G120*AO120</f>
        <v>0</v>
      </c>
      <c r="K120" s="38">
        <f>G120*AP120</f>
        <v>0</v>
      </c>
      <c r="L120" s="38">
        <f>G120*H120</f>
        <v>0</v>
      </c>
      <c r="M120" s="38">
        <f>L120*(1+BW120/100)</f>
        <v>0</v>
      </c>
      <c r="N120" s="38">
        <v>2.6780000000000002E-2</v>
      </c>
      <c r="O120" s="38">
        <f>G120*N120</f>
        <v>1.2535718000000002</v>
      </c>
      <c r="P120" s="40" t="s">
        <v>60</v>
      </c>
      <c r="Z120" s="38">
        <f>IF(AQ120="5",BJ120,0)</f>
        <v>0</v>
      </c>
      <c r="AB120" s="38">
        <f>IF(AQ120="1",BH120,0)</f>
        <v>0</v>
      </c>
      <c r="AC120" s="38">
        <f>IF(AQ120="1",BI120,0)</f>
        <v>0</v>
      </c>
      <c r="AD120" s="38">
        <f>IF(AQ120="7",BH120,0)</f>
        <v>0</v>
      </c>
      <c r="AE120" s="38">
        <f>IF(AQ120="7",BI120,0)</f>
        <v>0</v>
      </c>
      <c r="AF120" s="38">
        <f>IF(AQ120="2",BH120,0)</f>
        <v>0</v>
      </c>
      <c r="AG120" s="38">
        <f>IF(AQ120="2",BI120,0)</f>
        <v>0</v>
      </c>
      <c r="AH120" s="38">
        <f>IF(AQ120="0",BJ120,0)</f>
        <v>0</v>
      </c>
      <c r="AI120" s="13" t="s">
        <v>51</v>
      </c>
      <c r="AJ120" s="38">
        <f>IF(AN120=0,L120,0)</f>
        <v>0</v>
      </c>
      <c r="AK120" s="38">
        <f>IF(AN120=12,L120,0)</f>
        <v>0</v>
      </c>
      <c r="AL120" s="38">
        <f>IF(AN120=21,L120,0)</f>
        <v>0</v>
      </c>
      <c r="AN120" s="38">
        <v>21</v>
      </c>
      <c r="AO120" s="38">
        <f>H120*0.849974937</f>
        <v>0</v>
      </c>
      <c r="AP120" s="38">
        <f>H120*(1-0.849974937)</f>
        <v>0</v>
      </c>
      <c r="AQ120" s="39" t="s">
        <v>55</v>
      </c>
      <c r="AV120" s="38">
        <f>AW120+AX120</f>
        <v>0</v>
      </c>
      <c r="AW120" s="38">
        <f>G120*AO120</f>
        <v>0</v>
      </c>
      <c r="AX120" s="38">
        <f>G120*AP120</f>
        <v>0</v>
      </c>
      <c r="AY120" s="39" t="s">
        <v>309</v>
      </c>
      <c r="AZ120" s="39" t="s">
        <v>293</v>
      </c>
      <c r="BA120" s="13" t="s">
        <v>63</v>
      </c>
      <c r="BC120" s="38">
        <f>AW120+AX120</f>
        <v>0</v>
      </c>
      <c r="BD120" s="38">
        <f>H120/(100-BE120)*100</f>
        <v>0</v>
      </c>
      <c r="BE120" s="38">
        <v>0</v>
      </c>
      <c r="BF120" s="38">
        <f>O120</f>
        <v>1.2535718000000002</v>
      </c>
      <c r="BH120" s="38">
        <f>G120*AO120</f>
        <v>0</v>
      </c>
      <c r="BI120" s="38">
        <f>G120*AP120</f>
        <v>0</v>
      </c>
      <c r="BJ120" s="38">
        <f>G120*H120</f>
        <v>0</v>
      </c>
      <c r="BK120" s="38"/>
      <c r="BL120" s="38">
        <v>63</v>
      </c>
      <c r="BW120" s="38" t="str">
        <f>I120</f>
        <v>21</v>
      </c>
      <c r="BX120" s="5" t="s">
        <v>312</v>
      </c>
    </row>
    <row r="121" spans="1:76" x14ac:dyDescent="0.25">
      <c r="A121" s="2" t="s">
        <v>313</v>
      </c>
      <c r="B121" s="3" t="s">
        <v>51</v>
      </c>
      <c r="C121" s="3" t="s">
        <v>267</v>
      </c>
      <c r="D121" s="106" t="s">
        <v>268</v>
      </c>
      <c r="E121" s="107"/>
      <c r="F121" s="3" t="s">
        <v>166</v>
      </c>
      <c r="G121" s="38">
        <v>1.2535700000000001</v>
      </c>
      <c r="H121" s="98"/>
      <c r="I121" s="39" t="s">
        <v>59</v>
      </c>
      <c r="J121" s="38">
        <f>G121*AO121</f>
        <v>0</v>
      </c>
      <c r="K121" s="38">
        <f>G121*AP121</f>
        <v>0</v>
      </c>
      <c r="L121" s="38">
        <f>G121*H121</f>
        <v>0</v>
      </c>
      <c r="M121" s="38">
        <f>L121*(1+BW121/100)</f>
        <v>0</v>
      </c>
      <c r="N121" s="38">
        <v>0</v>
      </c>
      <c r="O121" s="38">
        <f>G121*N121</f>
        <v>0</v>
      </c>
      <c r="P121" s="40" t="s">
        <v>60</v>
      </c>
      <c r="Z121" s="38">
        <f>IF(AQ121="5",BJ121,0)</f>
        <v>0</v>
      </c>
      <c r="AB121" s="38">
        <f>IF(AQ121="1",BH121,0)</f>
        <v>0</v>
      </c>
      <c r="AC121" s="38">
        <f>IF(AQ121="1",BI121,0)</f>
        <v>0</v>
      </c>
      <c r="AD121" s="38">
        <f>IF(AQ121="7",BH121,0)</f>
        <v>0</v>
      </c>
      <c r="AE121" s="38">
        <f>IF(AQ121="7",BI121,0)</f>
        <v>0</v>
      </c>
      <c r="AF121" s="38">
        <f>IF(AQ121="2",BH121,0)</f>
        <v>0</v>
      </c>
      <c r="AG121" s="38">
        <f>IF(AQ121="2",BI121,0)</f>
        <v>0</v>
      </c>
      <c r="AH121" s="38">
        <f>IF(AQ121="0",BJ121,0)</f>
        <v>0</v>
      </c>
      <c r="AI121" s="13" t="s">
        <v>51</v>
      </c>
      <c r="AJ121" s="38">
        <f>IF(AN121=0,L121,0)</f>
        <v>0</v>
      </c>
      <c r="AK121" s="38">
        <f>IF(AN121=12,L121,0)</f>
        <v>0</v>
      </c>
      <c r="AL121" s="38">
        <f>IF(AN121=21,L121,0)</f>
        <v>0</v>
      </c>
      <c r="AN121" s="38">
        <v>21</v>
      </c>
      <c r="AO121" s="38">
        <f>H121*0</f>
        <v>0</v>
      </c>
      <c r="AP121" s="38">
        <f>H121*(1-0)</f>
        <v>0</v>
      </c>
      <c r="AQ121" s="39" t="s">
        <v>80</v>
      </c>
      <c r="AV121" s="38">
        <f>AW121+AX121</f>
        <v>0</v>
      </c>
      <c r="AW121" s="38">
        <f>G121*AO121</f>
        <v>0</v>
      </c>
      <c r="AX121" s="38">
        <f>G121*AP121</f>
        <v>0</v>
      </c>
      <c r="AY121" s="39" t="s">
        <v>309</v>
      </c>
      <c r="AZ121" s="39" t="s">
        <v>293</v>
      </c>
      <c r="BA121" s="13" t="s">
        <v>63</v>
      </c>
      <c r="BC121" s="38">
        <f>AW121+AX121</f>
        <v>0</v>
      </c>
      <c r="BD121" s="38">
        <f>H121/(100-BE121)*100</f>
        <v>0</v>
      </c>
      <c r="BE121" s="38">
        <v>0</v>
      </c>
      <c r="BF121" s="38">
        <f>O121</f>
        <v>0</v>
      </c>
      <c r="BH121" s="38">
        <f>G121*AO121</f>
        <v>0</v>
      </c>
      <c r="BI121" s="38">
        <f>G121*AP121</f>
        <v>0</v>
      </c>
      <c r="BJ121" s="38">
        <f>G121*H121</f>
        <v>0</v>
      </c>
      <c r="BK121" s="38"/>
      <c r="BL121" s="38">
        <v>63</v>
      </c>
      <c r="BW121" s="38" t="str">
        <f>I121</f>
        <v>21</v>
      </c>
      <c r="BX121" s="5" t="s">
        <v>268</v>
      </c>
    </row>
    <row r="122" spans="1:76" x14ac:dyDescent="0.25">
      <c r="A122" s="33" t="s">
        <v>50</v>
      </c>
      <c r="B122" s="34" t="s">
        <v>51</v>
      </c>
      <c r="C122" s="34" t="s">
        <v>314</v>
      </c>
      <c r="D122" s="174" t="s">
        <v>315</v>
      </c>
      <c r="E122" s="175"/>
      <c r="F122" s="36" t="s">
        <v>4</v>
      </c>
      <c r="G122" s="36" t="s">
        <v>4</v>
      </c>
      <c r="H122" s="36" t="s">
        <v>4</v>
      </c>
      <c r="I122" s="36" t="s">
        <v>4</v>
      </c>
      <c r="J122" s="1">
        <f>SUM(J123:J127)</f>
        <v>0</v>
      </c>
      <c r="K122" s="1">
        <f>SUM(K123:K127)</f>
        <v>0</v>
      </c>
      <c r="L122" s="1">
        <f>SUM(L123:L127)</f>
        <v>0</v>
      </c>
      <c r="M122" s="1">
        <f>SUM(M123:M127)</f>
        <v>0</v>
      </c>
      <c r="N122" s="13" t="s">
        <v>50</v>
      </c>
      <c r="O122" s="1">
        <f>SUM(O123:O127)</f>
        <v>6.0532399999999993E-2</v>
      </c>
      <c r="P122" s="37" t="s">
        <v>50</v>
      </c>
      <c r="AI122" s="13" t="s">
        <v>51</v>
      </c>
      <c r="AS122" s="1">
        <f>SUM(AJ123:AJ127)</f>
        <v>0</v>
      </c>
      <c r="AT122" s="1">
        <f>SUM(AK123:AK127)</f>
        <v>0</v>
      </c>
      <c r="AU122" s="1">
        <f>SUM(AL123:AL127)</f>
        <v>0</v>
      </c>
    </row>
    <row r="123" spans="1:76" x14ac:dyDescent="0.25">
      <c r="A123" s="2" t="s">
        <v>316</v>
      </c>
      <c r="B123" s="3" t="s">
        <v>51</v>
      </c>
      <c r="C123" s="3" t="s">
        <v>317</v>
      </c>
      <c r="D123" s="106" t="s">
        <v>318</v>
      </c>
      <c r="E123" s="107"/>
      <c r="F123" s="3" t="s">
        <v>83</v>
      </c>
      <c r="G123" s="38">
        <v>15.31</v>
      </c>
      <c r="H123" s="98"/>
      <c r="I123" s="39" t="s">
        <v>59</v>
      </c>
      <c r="J123" s="38">
        <f>G123*AO123</f>
        <v>0</v>
      </c>
      <c r="K123" s="38">
        <f>G123*AP123</f>
        <v>0</v>
      </c>
      <c r="L123" s="38">
        <f>G123*H123</f>
        <v>0</v>
      </c>
      <c r="M123" s="38">
        <f>L123*(1+BW123/100)</f>
        <v>0</v>
      </c>
      <c r="N123" s="38">
        <v>2.2000000000000001E-4</v>
      </c>
      <c r="O123" s="38">
        <f>G123*N123</f>
        <v>3.3682E-3</v>
      </c>
      <c r="P123" s="40" t="s">
        <v>67</v>
      </c>
      <c r="Z123" s="38">
        <f>IF(AQ123="5",BJ123,0)</f>
        <v>0</v>
      </c>
      <c r="AB123" s="38">
        <f>IF(AQ123="1",BH123,0)</f>
        <v>0</v>
      </c>
      <c r="AC123" s="38">
        <f>IF(AQ123="1",BI123,0)</f>
        <v>0</v>
      </c>
      <c r="AD123" s="38">
        <f>IF(AQ123="7",BH123,0)</f>
        <v>0</v>
      </c>
      <c r="AE123" s="38">
        <f>IF(AQ123="7",BI123,0)</f>
        <v>0</v>
      </c>
      <c r="AF123" s="38">
        <f>IF(AQ123="2",BH123,0)</f>
        <v>0</v>
      </c>
      <c r="AG123" s="38">
        <f>IF(AQ123="2",BI123,0)</f>
        <v>0</v>
      </c>
      <c r="AH123" s="38">
        <f>IF(AQ123="0",BJ123,0)</f>
        <v>0</v>
      </c>
      <c r="AI123" s="13" t="s">
        <v>51</v>
      </c>
      <c r="AJ123" s="38">
        <f>IF(AN123=0,L123,0)</f>
        <v>0</v>
      </c>
      <c r="AK123" s="38">
        <f>IF(AN123=12,L123,0)</f>
        <v>0</v>
      </c>
      <c r="AL123" s="38">
        <f>IF(AN123=21,L123,0)</f>
        <v>0</v>
      </c>
      <c r="AN123" s="38">
        <v>21</v>
      </c>
      <c r="AO123" s="38">
        <f>H123*0.424636824</f>
        <v>0</v>
      </c>
      <c r="AP123" s="38">
        <f>H123*(1-0.424636824)</f>
        <v>0</v>
      </c>
      <c r="AQ123" s="39" t="s">
        <v>87</v>
      </c>
      <c r="AV123" s="38">
        <f>AW123+AX123</f>
        <v>0</v>
      </c>
      <c r="AW123" s="38">
        <f>G123*AO123</f>
        <v>0</v>
      </c>
      <c r="AX123" s="38">
        <f>G123*AP123</f>
        <v>0</v>
      </c>
      <c r="AY123" s="39" t="s">
        <v>319</v>
      </c>
      <c r="AZ123" s="39" t="s">
        <v>320</v>
      </c>
      <c r="BA123" s="13" t="s">
        <v>63</v>
      </c>
      <c r="BC123" s="38">
        <f>AW123+AX123</f>
        <v>0</v>
      </c>
      <c r="BD123" s="38">
        <f>H123/(100-BE123)*100</f>
        <v>0</v>
      </c>
      <c r="BE123" s="38">
        <v>0</v>
      </c>
      <c r="BF123" s="38">
        <f>O123</f>
        <v>3.3682E-3</v>
      </c>
      <c r="BH123" s="38">
        <f>G123*AO123</f>
        <v>0</v>
      </c>
      <c r="BI123" s="38">
        <f>G123*AP123</f>
        <v>0</v>
      </c>
      <c r="BJ123" s="38">
        <f>G123*H123</f>
        <v>0</v>
      </c>
      <c r="BK123" s="38"/>
      <c r="BL123" s="38">
        <v>711</v>
      </c>
      <c r="BW123" s="38" t="str">
        <f>I123</f>
        <v>21</v>
      </c>
      <c r="BX123" s="5" t="s">
        <v>318</v>
      </c>
    </row>
    <row r="124" spans="1:76" ht="13.5" customHeight="1" x14ac:dyDescent="0.25">
      <c r="A124" s="41"/>
      <c r="C124" s="42" t="s">
        <v>97</v>
      </c>
      <c r="D124" s="178" t="s">
        <v>321</v>
      </c>
      <c r="E124" s="179"/>
      <c r="F124" s="179"/>
      <c r="G124" s="179"/>
      <c r="H124" s="179"/>
      <c r="I124" s="179"/>
      <c r="J124" s="179"/>
      <c r="K124" s="179"/>
      <c r="L124" s="179"/>
      <c r="M124" s="179"/>
      <c r="N124" s="179"/>
      <c r="O124" s="179"/>
      <c r="P124" s="180"/>
    </row>
    <row r="125" spans="1:76" x14ac:dyDescent="0.25">
      <c r="A125" s="2" t="s">
        <v>322</v>
      </c>
      <c r="B125" s="3" t="s">
        <v>51</v>
      </c>
      <c r="C125" s="3" t="s">
        <v>323</v>
      </c>
      <c r="D125" s="106" t="s">
        <v>324</v>
      </c>
      <c r="E125" s="107"/>
      <c r="F125" s="3" t="s">
        <v>83</v>
      </c>
      <c r="G125" s="38">
        <v>16.812999999999999</v>
      </c>
      <c r="H125" s="98"/>
      <c r="I125" s="39" t="s">
        <v>59</v>
      </c>
      <c r="J125" s="38">
        <f>G125*AO125</f>
        <v>0</v>
      </c>
      <c r="K125" s="38">
        <f>G125*AP125</f>
        <v>0</v>
      </c>
      <c r="L125" s="38">
        <f>G125*H125</f>
        <v>0</v>
      </c>
      <c r="M125" s="38">
        <f>L125*(1+BW125/100)</f>
        <v>0</v>
      </c>
      <c r="N125" s="38">
        <v>3.3999999999999998E-3</v>
      </c>
      <c r="O125" s="38">
        <f>G125*N125</f>
        <v>5.7164199999999991E-2</v>
      </c>
      <c r="P125" s="40" t="s">
        <v>60</v>
      </c>
      <c r="Z125" s="38">
        <f>IF(AQ125="5",BJ125,0)</f>
        <v>0</v>
      </c>
      <c r="AB125" s="38">
        <f>IF(AQ125="1",BH125,0)</f>
        <v>0</v>
      </c>
      <c r="AC125" s="38">
        <f>IF(AQ125="1",BI125,0)</f>
        <v>0</v>
      </c>
      <c r="AD125" s="38">
        <f>IF(AQ125="7",BH125,0)</f>
        <v>0</v>
      </c>
      <c r="AE125" s="38">
        <f>IF(AQ125="7",BI125,0)</f>
        <v>0</v>
      </c>
      <c r="AF125" s="38">
        <f>IF(AQ125="2",BH125,0)</f>
        <v>0</v>
      </c>
      <c r="AG125" s="38">
        <f>IF(AQ125="2",BI125,0)</f>
        <v>0</v>
      </c>
      <c r="AH125" s="38">
        <f>IF(AQ125="0",BJ125,0)</f>
        <v>0</v>
      </c>
      <c r="AI125" s="13" t="s">
        <v>51</v>
      </c>
      <c r="AJ125" s="38">
        <f>IF(AN125=0,L125,0)</f>
        <v>0</v>
      </c>
      <c r="AK125" s="38">
        <f>IF(AN125=12,L125,0)</f>
        <v>0</v>
      </c>
      <c r="AL125" s="38">
        <f>IF(AN125=21,L125,0)</f>
        <v>0</v>
      </c>
      <c r="AN125" s="38">
        <v>21</v>
      </c>
      <c r="AO125" s="38">
        <f>H125*0.637914089</f>
        <v>0</v>
      </c>
      <c r="AP125" s="38">
        <f>H125*(1-0.637914089)</f>
        <v>0</v>
      </c>
      <c r="AQ125" s="39" t="s">
        <v>87</v>
      </c>
      <c r="AV125" s="38">
        <f>AW125+AX125</f>
        <v>0</v>
      </c>
      <c r="AW125" s="38">
        <f>G125*AO125</f>
        <v>0</v>
      </c>
      <c r="AX125" s="38">
        <f>G125*AP125</f>
        <v>0</v>
      </c>
      <c r="AY125" s="39" t="s">
        <v>319</v>
      </c>
      <c r="AZ125" s="39" t="s">
        <v>320</v>
      </c>
      <c r="BA125" s="13" t="s">
        <v>63</v>
      </c>
      <c r="BC125" s="38">
        <f>AW125+AX125</f>
        <v>0</v>
      </c>
      <c r="BD125" s="38">
        <f>H125/(100-BE125)*100</f>
        <v>0</v>
      </c>
      <c r="BE125" s="38">
        <v>0</v>
      </c>
      <c r="BF125" s="38">
        <f>O125</f>
        <v>5.7164199999999991E-2</v>
      </c>
      <c r="BH125" s="38">
        <f>G125*AO125</f>
        <v>0</v>
      </c>
      <c r="BI125" s="38">
        <f>G125*AP125</f>
        <v>0</v>
      </c>
      <c r="BJ125" s="38">
        <f>G125*H125</f>
        <v>0</v>
      </c>
      <c r="BK125" s="38"/>
      <c r="BL125" s="38">
        <v>711</v>
      </c>
      <c r="BW125" s="38" t="str">
        <f>I125</f>
        <v>21</v>
      </c>
      <c r="BX125" s="5" t="s">
        <v>324</v>
      </c>
    </row>
    <row r="126" spans="1:76" ht="13.5" customHeight="1" x14ac:dyDescent="0.25">
      <c r="A126" s="41"/>
      <c r="C126" s="42" t="s">
        <v>97</v>
      </c>
      <c r="D126" s="178" t="s">
        <v>325</v>
      </c>
      <c r="E126" s="179"/>
      <c r="F126" s="179"/>
      <c r="G126" s="179"/>
      <c r="H126" s="179"/>
      <c r="I126" s="179"/>
      <c r="J126" s="179"/>
      <c r="K126" s="179"/>
      <c r="L126" s="179"/>
      <c r="M126" s="179"/>
      <c r="N126" s="179"/>
      <c r="O126" s="179"/>
      <c r="P126" s="180"/>
    </row>
    <row r="127" spans="1:76" x14ac:dyDescent="0.25">
      <c r="A127" s="2" t="s">
        <v>326</v>
      </c>
      <c r="B127" s="3" t="s">
        <v>51</v>
      </c>
      <c r="C127" s="3" t="s">
        <v>327</v>
      </c>
      <c r="D127" s="106" t="s">
        <v>328</v>
      </c>
      <c r="E127" s="107"/>
      <c r="F127" s="3" t="s">
        <v>166</v>
      </c>
      <c r="G127" s="38">
        <v>6.053E-2</v>
      </c>
      <c r="H127" s="98"/>
      <c r="I127" s="39" t="s">
        <v>59</v>
      </c>
      <c r="J127" s="38">
        <f>G127*AO127</f>
        <v>0</v>
      </c>
      <c r="K127" s="38">
        <f>G127*AP127</f>
        <v>0</v>
      </c>
      <c r="L127" s="38">
        <f>G127*H127</f>
        <v>0</v>
      </c>
      <c r="M127" s="38">
        <f>L127*(1+BW127/100)</f>
        <v>0</v>
      </c>
      <c r="N127" s="38">
        <v>0</v>
      </c>
      <c r="O127" s="38">
        <f>G127*N127</f>
        <v>0</v>
      </c>
      <c r="P127" s="40" t="s">
        <v>60</v>
      </c>
      <c r="Z127" s="38">
        <f>IF(AQ127="5",BJ127,0)</f>
        <v>0</v>
      </c>
      <c r="AB127" s="38">
        <f>IF(AQ127="1",BH127,0)</f>
        <v>0</v>
      </c>
      <c r="AC127" s="38">
        <f>IF(AQ127="1",BI127,0)</f>
        <v>0</v>
      </c>
      <c r="AD127" s="38">
        <f>IF(AQ127="7",BH127,0)</f>
        <v>0</v>
      </c>
      <c r="AE127" s="38">
        <f>IF(AQ127="7",BI127,0)</f>
        <v>0</v>
      </c>
      <c r="AF127" s="38">
        <f>IF(AQ127="2",BH127,0)</f>
        <v>0</v>
      </c>
      <c r="AG127" s="38">
        <f>IF(AQ127="2",BI127,0)</f>
        <v>0</v>
      </c>
      <c r="AH127" s="38">
        <f>IF(AQ127="0",BJ127,0)</f>
        <v>0</v>
      </c>
      <c r="AI127" s="13" t="s">
        <v>51</v>
      </c>
      <c r="AJ127" s="38">
        <f>IF(AN127=0,L127,0)</f>
        <v>0</v>
      </c>
      <c r="AK127" s="38">
        <f>IF(AN127=12,L127,0)</f>
        <v>0</v>
      </c>
      <c r="AL127" s="38">
        <f>IF(AN127=21,L127,0)</f>
        <v>0</v>
      </c>
      <c r="AN127" s="38">
        <v>21</v>
      </c>
      <c r="AO127" s="38">
        <f>H127*0</f>
        <v>0</v>
      </c>
      <c r="AP127" s="38">
        <f>H127*(1-0)</f>
        <v>0</v>
      </c>
      <c r="AQ127" s="39" t="s">
        <v>80</v>
      </c>
      <c r="AV127" s="38">
        <f>AW127+AX127</f>
        <v>0</v>
      </c>
      <c r="AW127" s="38">
        <f>G127*AO127</f>
        <v>0</v>
      </c>
      <c r="AX127" s="38">
        <f>G127*AP127</f>
        <v>0</v>
      </c>
      <c r="AY127" s="39" t="s">
        <v>319</v>
      </c>
      <c r="AZ127" s="39" t="s">
        <v>320</v>
      </c>
      <c r="BA127" s="13" t="s">
        <v>63</v>
      </c>
      <c r="BC127" s="38">
        <f>AW127+AX127</f>
        <v>0</v>
      </c>
      <c r="BD127" s="38">
        <f>H127/(100-BE127)*100</f>
        <v>0</v>
      </c>
      <c r="BE127" s="38">
        <v>0</v>
      </c>
      <c r="BF127" s="38">
        <f>O127</f>
        <v>0</v>
      </c>
      <c r="BH127" s="38">
        <f>G127*AO127</f>
        <v>0</v>
      </c>
      <c r="BI127" s="38">
        <f>G127*AP127</f>
        <v>0</v>
      </c>
      <c r="BJ127" s="38">
        <f>G127*H127</f>
        <v>0</v>
      </c>
      <c r="BK127" s="38"/>
      <c r="BL127" s="38">
        <v>711</v>
      </c>
      <c r="BW127" s="38" t="str">
        <f>I127</f>
        <v>21</v>
      </c>
      <c r="BX127" s="5" t="s">
        <v>328</v>
      </c>
    </row>
    <row r="128" spans="1:76" x14ac:dyDescent="0.25">
      <c r="A128" s="33" t="s">
        <v>50</v>
      </c>
      <c r="B128" s="34" t="s">
        <v>51</v>
      </c>
      <c r="C128" s="34" t="s">
        <v>329</v>
      </c>
      <c r="D128" s="174" t="s">
        <v>330</v>
      </c>
      <c r="E128" s="175"/>
      <c r="F128" s="36" t="s">
        <v>4</v>
      </c>
      <c r="G128" s="36" t="s">
        <v>4</v>
      </c>
      <c r="H128" s="36" t="s">
        <v>4</v>
      </c>
      <c r="I128" s="36" t="s">
        <v>4</v>
      </c>
      <c r="J128" s="1">
        <f>SUM(J129:J129)</f>
        <v>0</v>
      </c>
      <c r="K128" s="1">
        <f>SUM(K129:K129)</f>
        <v>0</v>
      </c>
      <c r="L128" s="1">
        <f>SUM(L129:L129)</f>
        <v>0</v>
      </c>
      <c r="M128" s="1">
        <f>SUM(M129:M129)</f>
        <v>0</v>
      </c>
      <c r="N128" s="13" t="s">
        <v>50</v>
      </c>
      <c r="O128" s="1">
        <f>SUM(O129:O129)</f>
        <v>4.0800000000000003E-3</v>
      </c>
      <c r="P128" s="37" t="s">
        <v>50</v>
      </c>
      <c r="AI128" s="13" t="s">
        <v>51</v>
      </c>
      <c r="AS128" s="1">
        <f>SUM(AJ129:AJ129)</f>
        <v>0</v>
      </c>
      <c r="AT128" s="1">
        <f>SUM(AK129:AK129)</f>
        <v>0</v>
      </c>
      <c r="AU128" s="1">
        <f>SUM(AL129:AL129)</f>
        <v>0</v>
      </c>
    </row>
    <row r="129" spans="1:76" x14ac:dyDescent="0.25">
      <c r="A129" s="2" t="s">
        <v>331</v>
      </c>
      <c r="B129" s="3" t="s">
        <v>51</v>
      </c>
      <c r="C129" s="3" t="s">
        <v>332</v>
      </c>
      <c r="D129" s="106" t="s">
        <v>333</v>
      </c>
      <c r="E129" s="107"/>
      <c r="F129" s="3" t="s">
        <v>58</v>
      </c>
      <c r="G129" s="38">
        <v>6</v>
      </c>
      <c r="H129" s="98"/>
      <c r="I129" s="39" t="s">
        <v>59</v>
      </c>
      <c r="J129" s="38">
        <f>G129*AO129</f>
        <v>0</v>
      </c>
      <c r="K129" s="38">
        <f>G129*AP129</f>
        <v>0</v>
      </c>
      <c r="L129" s="38">
        <f>G129*H129</f>
        <v>0</v>
      </c>
      <c r="M129" s="38">
        <f>L129*(1+BW129/100)</f>
        <v>0</v>
      </c>
      <c r="N129" s="38">
        <v>6.8000000000000005E-4</v>
      </c>
      <c r="O129" s="38">
        <f>G129*N129</f>
        <v>4.0800000000000003E-3</v>
      </c>
      <c r="P129" s="40" t="s">
        <v>60</v>
      </c>
      <c r="Z129" s="38">
        <f>IF(AQ129="5",BJ129,0)</f>
        <v>0</v>
      </c>
      <c r="AB129" s="38">
        <f>IF(AQ129="1",BH129,0)</f>
        <v>0</v>
      </c>
      <c r="AC129" s="38">
        <f>IF(AQ129="1",BI129,0)</f>
        <v>0</v>
      </c>
      <c r="AD129" s="38">
        <f>IF(AQ129="7",BH129,0)</f>
        <v>0</v>
      </c>
      <c r="AE129" s="38">
        <f>IF(AQ129="7",BI129,0)</f>
        <v>0</v>
      </c>
      <c r="AF129" s="38">
        <f>IF(AQ129="2",BH129,0)</f>
        <v>0</v>
      </c>
      <c r="AG129" s="38">
        <f>IF(AQ129="2",BI129,0)</f>
        <v>0</v>
      </c>
      <c r="AH129" s="38">
        <f>IF(AQ129="0",BJ129,0)</f>
        <v>0</v>
      </c>
      <c r="AI129" s="13" t="s">
        <v>51</v>
      </c>
      <c r="AJ129" s="38">
        <f>IF(AN129=0,L129,0)</f>
        <v>0</v>
      </c>
      <c r="AK129" s="38">
        <f>IF(AN129=12,L129,0)</f>
        <v>0</v>
      </c>
      <c r="AL129" s="38">
        <f>IF(AN129=21,L129,0)</f>
        <v>0</v>
      </c>
      <c r="AN129" s="38">
        <v>21</v>
      </c>
      <c r="AO129" s="38">
        <f>H129*0.166945675</f>
        <v>0</v>
      </c>
      <c r="AP129" s="38">
        <f>H129*(1-0.166945675)</f>
        <v>0</v>
      </c>
      <c r="AQ129" s="39" t="s">
        <v>87</v>
      </c>
      <c r="AV129" s="38">
        <f>AW129+AX129</f>
        <v>0</v>
      </c>
      <c r="AW129" s="38">
        <f>G129*AO129</f>
        <v>0</v>
      </c>
      <c r="AX129" s="38">
        <f>G129*AP129</f>
        <v>0</v>
      </c>
      <c r="AY129" s="39" t="s">
        <v>334</v>
      </c>
      <c r="AZ129" s="39" t="s">
        <v>320</v>
      </c>
      <c r="BA129" s="13" t="s">
        <v>63</v>
      </c>
      <c r="BC129" s="38">
        <f>AW129+AX129</f>
        <v>0</v>
      </c>
      <c r="BD129" s="38">
        <f>H129/(100-BE129)*100</f>
        <v>0</v>
      </c>
      <c r="BE129" s="38">
        <v>0</v>
      </c>
      <c r="BF129" s="38">
        <f>O129</f>
        <v>4.0800000000000003E-3</v>
      </c>
      <c r="BH129" s="38">
        <f>G129*AO129</f>
        <v>0</v>
      </c>
      <c r="BI129" s="38">
        <f>G129*AP129</f>
        <v>0</v>
      </c>
      <c r="BJ129" s="38">
        <f>G129*H129</f>
        <v>0</v>
      </c>
      <c r="BK129" s="38"/>
      <c r="BL129" s="38">
        <v>713</v>
      </c>
      <c r="BW129" s="38" t="str">
        <f>I129</f>
        <v>21</v>
      </c>
      <c r="BX129" s="5" t="s">
        <v>333</v>
      </c>
    </row>
    <row r="130" spans="1:76" ht="38.25" x14ac:dyDescent="0.25">
      <c r="A130" s="41"/>
      <c r="C130" s="42" t="s">
        <v>78</v>
      </c>
      <c r="D130" s="178" t="s">
        <v>335</v>
      </c>
      <c r="E130" s="179"/>
      <c r="F130" s="179"/>
      <c r="G130" s="179"/>
      <c r="H130" s="179"/>
      <c r="I130" s="179"/>
      <c r="J130" s="179"/>
      <c r="K130" s="179"/>
      <c r="L130" s="179"/>
      <c r="M130" s="179"/>
      <c r="N130" s="179"/>
      <c r="O130" s="179"/>
      <c r="P130" s="180"/>
      <c r="BX130" s="43" t="s">
        <v>335</v>
      </c>
    </row>
    <row r="131" spans="1:76" x14ac:dyDescent="0.25">
      <c r="A131" s="33" t="s">
        <v>50</v>
      </c>
      <c r="B131" s="34" t="s">
        <v>51</v>
      </c>
      <c r="C131" s="34" t="s">
        <v>336</v>
      </c>
      <c r="D131" s="174" t="s">
        <v>337</v>
      </c>
      <c r="E131" s="175"/>
      <c r="F131" s="36" t="s">
        <v>4</v>
      </c>
      <c r="G131" s="36" t="s">
        <v>4</v>
      </c>
      <c r="H131" s="36" t="s">
        <v>4</v>
      </c>
      <c r="I131" s="36" t="s">
        <v>4</v>
      </c>
      <c r="J131" s="1">
        <f>SUM(J132:J150)</f>
        <v>0</v>
      </c>
      <c r="K131" s="1">
        <f>SUM(K132:K150)</f>
        <v>0</v>
      </c>
      <c r="L131" s="1">
        <f>SUM(L132:L150)</f>
        <v>0</v>
      </c>
      <c r="M131" s="1">
        <f>SUM(M132:M150)</f>
        <v>0</v>
      </c>
      <c r="N131" s="13" t="s">
        <v>50</v>
      </c>
      <c r="O131" s="1">
        <f>SUM(O132:O150)</f>
        <v>4.4194999999999998E-2</v>
      </c>
      <c r="P131" s="37" t="s">
        <v>50</v>
      </c>
      <c r="AI131" s="13" t="s">
        <v>51</v>
      </c>
      <c r="AS131" s="1">
        <f>SUM(AJ132:AJ150)</f>
        <v>0</v>
      </c>
      <c r="AT131" s="1">
        <f>SUM(AK132:AK150)</f>
        <v>0</v>
      </c>
      <c r="AU131" s="1">
        <f>SUM(AL132:AL150)</f>
        <v>0</v>
      </c>
    </row>
    <row r="132" spans="1:76" x14ac:dyDescent="0.25">
      <c r="A132" s="2" t="s">
        <v>338</v>
      </c>
      <c r="B132" s="3" t="s">
        <v>51</v>
      </c>
      <c r="C132" s="3" t="s">
        <v>339</v>
      </c>
      <c r="D132" s="106" t="s">
        <v>340</v>
      </c>
      <c r="E132" s="107"/>
      <c r="F132" s="3" t="s">
        <v>108</v>
      </c>
      <c r="G132" s="38">
        <v>2</v>
      </c>
      <c r="H132" s="98"/>
      <c r="I132" s="39" t="s">
        <v>59</v>
      </c>
      <c r="J132" s="38">
        <f>G132*AO132</f>
        <v>0</v>
      </c>
      <c r="K132" s="38">
        <f>G132*AP132</f>
        <v>0</v>
      </c>
      <c r="L132" s="38">
        <f>G132*H132</f>
        <v>0</v>
      </c>
      <c r="M132" s="38">
        <f>L132*(1+BW132/100)</f>
        <v>0</v>
      </c>
      <c r="N132" s="38">
        <v>7.7999999999999999E-4</v>
      </c>
      <c r="O132" s="38">
        <f>G132*N132</f>
        <v>1.56E-3</v>
      </c>
      <c r="P132" s="40" t="s">
        <v>60</v>
      </c>
      <c r="Z132" s="38">
        <f>IF(AQ132="5",BJ132,0)</f>
        <v>0</v>
      </c>
      <c r="AB132" s="38">
        <f>IF(AQ132="1",BH132,0)</f>
        <v>0</v>
      </c>
      <c r="AC132" s="38">
        <f>IF(AQ132="1",BI132,0)</f>
        <v>0</v>
      </c>
      <c r="AD132" s="38">
        <f>IF(AQ132="7",BH132,0)</f>
        <v>0</v>
      </c>
      <c r="AE132" s="38">
        <f>IF(AQ132="7",BI132,0)</f>
        <v>0</v>
      </c>
      <c r="AF132" s="38">
        <f>IF(AQ132="2",BH132,0)</f>
        <v>0</v>
      </c>
      <c r="AG132" s="38">
        <f>IF(AQ132="2",BI132,0)</f>
        <v>0</v>
      </c>
      <c r="AH132" s="38">
        <f>IF(AQ132="0",BJ132,0)</f>
        <v>0</v>
      </c>
      <c r="AI132" s="13" t="s">
        <v>51</v>
      </c>
      <c r="AJ132" s="38">
        <f>IF(AN132=0,L132,0)</f>
        <v>0</v>
      </c>
      <c r="AK132" s="38">
        <f>IF(AN132=12,L132,0)</f>
        <v>0</v>
      </c>
      <c r="AL132" s="38">
        <f>IF(AN132=21,L132,0)</f>
        <v>0</v>
      </c>
      <c r="AN132" s="38">
        <v>21</v>
      </c>
      <c r="AO132" s="38">
        <f>H132*0.29672973</f>
        <v>0</v>
      </c>
      <c r="AP132" s="38">
        <f>H132*(1-0.29672973)</f>
        <v>0</v>
      </c>
      <c r="AQ132" s="39" t="s">
        <v>87</v>
      </c>
      <c r="AV132" s="38">
        <f>AW132+AX132</f>
        <v>0</v>
      </c>
      <c r="AW132" s="38">
        <f>G132*AO132</f>
        <v>0</v>
      </c>
      <c r="AX132" s="38">
        <f>G132*AP132</f>
        <v>0</v>
      </c>
      <c r="AY132" s="39" t="s">
        <v>341</v>
      </c>
      <c r="AZ132" s="39" t="s">
        <v>342</v>
      </c>
      <c r="BA132" s="13" t="s">
        <v>63</v>
      </c>
      <c r="BC132" s="38">
        <f>AW132+AX132</f>
        <v>0</v>
      </c>
      <c r="BD132" s="38">
        <f>H132/(100-BE132)*100</f>
        <v>0</v>
      </c>
      <c r="BE132" s="38">
        <v>0</v>
      </c>
      <c r="BF132" s="38">
        <f>O132</f>
        <v>1.56E-3</v>
      </c>
      <c r="BH132" s="38">
        <f>G132*AO132</f>
        <v>0</v>
      </c>
      <c r="BI132" s="38">
        <f>G132*AP132</f>
        <v>0</v>
      </c>
      <c r="BJ132" s="38">
        <f>G132*H132</f>
        <v>0</v>
      </c>
      <c r="BK132" s="38"/>
      <c r="BL132" s="38">
        <v>721</v>
      </c>
      <c r="BW132" s="38" t="str">
        <f>I132</f>
        <v>21</v>
      </c>
      <c r="BX132" s="5" t="s">
        <v>340</v>
      </c>
    </row>
    <row r="133" spans="1:76" x14ac:dyDescent="0.25">
      <c r="A133" s="2" t="s">
        <v>343</v>
      </c>
      <c r="B133" s="3" t="s">
        <v>51</v>
      </c>
      <c r="C133" s="3" t="s">
        <v>344</v>
      </c>
      <c r="D133" s="106" t="s">
        <v>345</v>
      </c>
      <c r="E133" s="107"/>
      <c r="F133" s="3" t="s">
        <v>108</v>
      </c>
      <c r="G133" s="38">
        <v>4</v>
      </c>
      <c r="H133" s="98"/>
      <c r="I133" s="39" t="s">
        <v>59</v>
      </c>
      <c r="J133" s="38">
        <f>G133*AO133</f>
        <v>0</v>
      </c>
      <c r="K133" s="38">
        <f>G133*AP133</f>
        <v>0</v>
      </c>
      <c r="L133" s="38">
        <f>G133*H133</f>
        <v>0</v>
      </c>
      <c r="M133" s="38">
        <f>L133*(1+BW133/100)</f>
        <v>0</v>
      </c>
      <c r="N133" s="38">
        <v>4.6999999999999999E-4</v>
      </c>
      <c r="O133" s="38">
        <f>G133*N133</f>
        <v>1.8799999999999999E-3</v>
      </c>
      <c r="P133" s="40" t="s">
        <v>60</v>
      </c>
      <c r="Z133" s="38">
        <f>IF(AQ133="5",BJ133,0)</f>
        <v>0</v>
      </c>
      <c r="AB133" s="38">
        <f>IF(AQ133="1",BH133,0)</f>
        <v>0</v>
      </c>
      <c r="AC133" s="38">
        <f>IF(AQ133="1",BI133,0)</f>
        <v>0</v>
      </c>
      <c r="AD133" s="38">
        <f>IF(AQ133="7",BH133,0)</f>
        <v>0</v>
      </c>
      <c r="AE133" s="38">
        <f>IF(AQ133="7",BI133,0)</f>
        <v>0</v>
      </c>
      <c r="AF133" s="38">
        <f>IF(AQ133="2",BH133,0)</f>
        <v>0</v>
      </c>
      <c r="AG133" s="38">
        <f>IF(AQ133="2",BI133,0)</f>
        <v>0</v>
      </c>
      <c r="AH133" s="38">
        <f>IF(AQ133="0",BJ133,0)</f>
        <v>0</v>
      </c>
      <c r="AI133" s="13" t="s">
        <v>51</v>
      </c>
      <c r="AJ133" s="38">
        <f>IF(AN133=0,L133,0)</f>
        <v>0</v>
      </c>
      <c r="AK133" s="38">
        <f>IF(AN133=12,L133,0)</f>
        <v>0</v>
      </c>
      <c r="AL133" s="38">
        <f>IF(AN133=21,L133,0)</f>
        <v>0</v>
      </c>
      <c r="AN133" s="38">
        <v>21</v>
      </c>
      <c r="AO133" s="38">
        <f>H133*0.288317757</f>
        <v>0</v>
      </c>
      <c r="AP133" s="38">
        <f>H133*(1-0.288317757)</f>
        <v>0</v>
      </c>
      <c r="AQ133" s="39" t="s">
        <v>87</v>
      </c>
      <c r="AV133" s="38">
        <f>AW133+AX133</f>
        <v>0</v>
      </c>
      <c r="AW133" s="38">
        <f>G133*AO133</f>
        <v>0</v>
      </c>
      <c r="AX133" s="38">
        <f>G133*AP133</f>
        <v>0</v>
      </c>
      <c r="AY133" s="39" t="s">
        <v>341</v>
      </c>
      <c r="AZ133" s="39" t="s">
        <v>342</v>
      </c>
      <c r="BA133" s="13" t="s">
        <v>63</v>
      </c>
      <c r="BC133" s="38">
        <f>AW133+AX133</f>
        <v>0</v>
      </c>
      <c r="BD133" s="38">
        <f>H133/(100-BE133)*100</f>
        <v>0</v>
      </c>
      <c r="BE133" s="38">
        <v>0</v>
      </c>
      <c r="BF133" s="38">
        <f>O133</f>
        <v>1.8799999999999999E-3</v>
      </c>
      <c r="BH133" s="38">
        <f>G133*AO133</f>
        <v>0</v>
      </c>
      <c r="BI133" s="38">
        <f>G133*AP133</f>
        <v>0</v>
      </c>
      <c r="BJ133" s="38">
        <f>G133*H133</f>
        <v>0</v>
      </c>
      <c r="BK133" s="38"/>
      <c r="BL133" s="38">
        <v>721</v>
      </c>
      <c r="BW133" s="38" t="str">
        <f>I133</f>
        <v>21</v>
      </c>
      <c r="BX133" s="5" t="s">
        <v>345</v>
      </c>
    </row>
    <row r="134" spans="1:76" x14ac:dyDescent="0.25">
      <c r="A134" s="2" t="s">
        <v>346</v>
      </c>
      <c r="B134" s="3" t="s">
        <v>51</v>
      </c>
      <c r="C134" s="3" t="s">
        <v>347</v>
      </c>
      <c r="D134" s="106" t="s">
        <v>348</v>
      </c>
      <c r="E134" s="107"/>
      <c r="F134" s="3" t="s">
        <v>108</v>
      </c>
      <c r="G134" s="38">
        <v>7</v>
      </c>
      <c r="H134" s="98"/>
      <c r="I134" s="39" t="s">
        <v>59</v>
      </c>
      <c r="J134" s="38">
        <f>G134*AO134</f>
        <v>0</v>
      </c>
      <c r="K134" s="38">
        <f>G134*AP134</f>
        <v>0</v>
      </c>
      <c r="L134" s="38">
        <f>G134*H134</f>
        <v>0</v>
      </c>
      <c r="M134" s="38">
        <f>L134*(1+BW134/100)</f>
        <v>0</v>
      </c>
      <c r="N134" s="38">
        <v>3.8000000000000002E-4</v>
      </c>
      <c r="O134" s="38">
        <f>G134*N134</f>
        <v>2.66E-3</v>
      </c>
      <c r="P134" s="40" t="s">
        <v>60</v>
      </c>
      <c r="Z134" s="38">
        <f>IF(AQ134="5",BJ134,0)</f>
        <v>0</v>
      </c>
      <c r="AB134" s="38">
        <f>IF(AQ134="1",BH134,0)</f>
        <v>0</v>
      </c>
      <c r="AC134" s="38">
        <f>IF(AQ134="1",BI134,0)</f>
        <v>0</v>
      </c>
      <c r="AD134" s="38">
        <f>IF(AQ134="7",BH134,0)</f>
        <v>0</v>
      </c>
      <c r="AE134" s="38">
        <f>IF(AQ134="7",BI134,0)</f>
        <v>0</v>
      </c>
      <c r="AF134" s="38">
        <f>IF(AQ134="2",BH134,0)</f>
        <v>0</v>
      </c>
      <c r="AG134" s="38">
        <f>IF(AQ134="2",BI134,0)</f>
        <v>0</v>
      </c>
      <c r="AH134" s="38">
        <f>IF(AQ134="0",BJ134,0)</f>
        <v>0</v>
      </c>
      <c r="AI134" s="13" t="s">
        <v>51</v>
      </c>
      <c r="AJ134" s="38">
        <f>IF(AN134=0,L134,0)</f>
        <v>0</v>
      </c>
      <c r="AK134" s="38">
        <f>IF(AN134=12,L134,0)</f>
        <v>0</v>
      </c>
      <c r="AL134" s="38">
        <f>IF(AN134=21,L134,0)</f>
        <v>0</v>
      </c>
      <c r="AN134" s="38">
        <v>21</v>
      </c>
      <c r="AO134" s="38">
        <f>H134*0.278442478</f>
        <v>0</v>
      </c>
      <c r="AP134" s="38">
        <f>H134*(1-0.278442478)</f>
        <v>0</v>
      </c>
      <c r="AQ134" s="39" t="s">
        <v>87</v>
      </c>
      <c r="AV134" s="38">
        <f>AW134+AX134</f>
        <v>0</v>
      </c>
      <c r="AW134" s="38">
        <f>G134*AO134</f>
        <v>0</v>
      </c>
      <c r="AX134" s="38">
        <f>G134*AP134</f>
        <v>0</v>
      </c>
      <c r="AY134" s="39" t="s">
        <v>341</v>
      </c>
      <c r="AZ134" s="39" t="s">
        <v>342</v>
      </c>
      <c r="BA134" s="13" t="s">
        <v>63</v>
      </c>
      <c r="BC134" s="38">
        <f>AW134+AX134</f>
        <v>0</v>
      </c>
      <c r="BD134" s="38">
        <f>H134/(100-BE134)*100</f>
        <v>0</v>
      </c>
      <c r="BE134" s="38">
        <v>0</v>
      </c>
      <c r="BF134" s="38">
        <f>O134</f>
        <v>2.66E-3</v>
      </c>
      <c r="BH134" s="38">
        <f>G134*AO134</f>
        <v>0</v>
      </c>
      <c r="BI134" s="38">
        <f>G134*AP134</f>
        <v>0</v>
      </c>
      <c r="BJ134" s="38">
        <f>G134*H134</f>
        <v>0</v>
      </c>
      <c r="BK134" s="38"/>
      <c r="BL134" s="38">
        <v>721</v>
      </c>
      <c r="BW134" s="38" t="str">
        <f>I134</f>
        <v>21</v>
      </c>
      <c r="BX134" s="5" t="s">
        <v>348</v>
      </c>
    </row>
    <row r="135" spans="1:76" x14ac:dyDescent="0.25">
      <c r="A135" s="2" t="s">
        <v>349</v>
      </c>
      <c r="B135" s="3" t="s">
        <v>51</v>
      </c>
      <c r="C135" s="3" t="s">
        <v>350</v>
      </c>
      <c r="D135" s="106" t="s">
        <v>351</v>
      </c>
      <c r="E135" s="107"/>
      <c r="F135" s="3" t="s">
        <v>108</v>
      </c>
      <c r="G135" s="38">
        <v>4</v>
      </c>
      <c r="H135" s="98"/>
      <c r="I135" s="39" t="s">
        <v>59</v>
      </c>
      <c r="J135" s="38">
        <f>G135*AO135</f>
        <v>0</v>
      </c>
      <c r="K135" s="38">
        <f>G135*AP135</f>
        <v>0</v>
      </c>
      <c r="L135" s="38">
        <f>G135*H135</f>
        <v>0</v>
      </c>
      <c r="M135" s="38">
        <f>L135*(1+BW135/100)</f>
        <v>0</v>
      </c>
      <c r="N135" s="38">
        <v>1.5200000000000001E-3</v>
      </c>
      <c r="O135" s="38">
        <f>G135*N135</f>
        <v>6.0800000000000003E-3</v>
      </c>
      <c r="P135" s="40" t="s">
        <v>60</v>
      </c>
      <c r="Z135" s="38">
        <f>IF(AQ135="5",BJ135,0)</f>
        <v>0</v>
      </c>
      <c r="AB135" s="38">
        <f>IF(AQ135="1",BH135,0)</f>
        <v>0</v>
      </c>
      <c r="AC135" s="38">
        <f>IF(AQ135="1",BI135,0)</f>
        <v>0</v>
      </c>
      <c r="AD135" s="38">
        <f>IF(AQ135="7",BH135,0)</f>
        <v>0</v>
      </c>
      <c r="AE135" s="38">
        <f>IF(AQ135="7",BI135,0)</f>
        <v>0</v>
      </c>
      <c r="AF135" s="38">
        <f>IF(AQ135="2",BH135,0)</f>
        <v>0</v>
      </c>
      <c r="AG135" s="38">
        <f>IF(AQ135="2",BI135,0)</f>
        <v>0</v>
      </c>
      <c r="AH135" s="38">
        <f>IF(AQ135="0",BJ135,0)</f>
        <v>0</v>
      </c>
      <c r="AI135" s="13" t="s">
        <v>51</v>
      </c>
      <c r="AJ135" s="38">
        <f>IF(AN135=0,L135,0)</f>
        <v>0</v>
      </c>
      <c r="AK135" s="38">
        <f>IF(AN135=12,L135,0)</f>
        <v>0</v>
      </c>
      <c r="AL135" s="38">
        <f>IF(AN135=21,L135,0)</f>
        <v>0</v>
      </c>
      <c r="AN135" s="38">
        <v>21</v>
      </c>
      <c r="AO135" s="38">
        <f>H135*0.262895257</f>
        <v>0</v>
      </c>
      <c r="AP135" s="38">
        <f>H135*(1-0.262895257)</f>
        <v>0</v>
      </c>
      <c r="AQ135" s="39" t="s">
        <v>87</v>
      </c>
      <c r="AV135" s="38">
        <f>AW135+AX135</f>
        <v>0</v>
      </c>
      <c r="AW135" s="38">
        <f>G135*AO135</f>
        <v>0</v>
      </c>
      <c r="AX135" s="38">
        <f>G135*AP135</f>
        <v>0</v>
      </c>
      <c r="AY135" s="39" t="s">
        <v>341</v>
      </c>
      <c r="AZ135" s="39" t="s">
        <v>342</v>
      </c>
      <c r="BA135" s="13" t="s">
        <v>63</v>
      </c>
      <c r="BC135" s="38">
        <f>AW135+AX135</f>
        <v>0</v>
      </c>
      <c r="BD135" s="38">
        <f>H135/(100-BE135)*100</f>
        <v>0</v>
      </c>
      <c r="BE135" s="38">
        <v>0</v>
      </c>
      <c r="BF135" s="38">
        <f>O135</f>
        <v>6.0800000000000003E-3</v>
      </c>
      <c r="BH135" s="38">
        <f>G135*AO135</f>
        <v>0</v>
      </c>
      <c r="BI135" s="38">
        <f>G135*AP135</f>
        <v>0</v>
      </c>
      <c r="BJ135" s="38">
        <f>G135*H135</f>
        <v>0</v>
      </c>
      <c r="BK135" s="38"/>
      <c r="BL135" s="38">
        <v>721</v>
      </c>
      <c r="BW135" s="38" t="str">
        <f>I135</f>
        <v>21</v>
      </c>
      <c r="BX135" s="5" t="s">
        <v>351</v>
      </c>
    </row>
    <row r="136" spans="1:76" x14ac:dyDescent="0.25">
      <c r="A136" s="2" t="s">
        <v>352</v>
      </c>
      <c r="B136" s="3" t="s">
        <v>51</v>
      </c>
      <c r="C136" s="3" t="s">
        <v>353</v>
      </c>
      <c r="D136" s="106" t="s">
        <v>354</v>
      </c>
      <c r="E136" s="107"/>
      <c r="F136" s="3" t="s">
        <v>108</v>
      </c>
      <c r="G136" s="38">
        <v>1.5</v>
      </c>
      <c r="H136" s="98"/>
      <c r="I136" s="39" t="s">
        <v>59</v>
      </c>
      <c r="J136" s="38">
        <f>G136*AO136</f>
        <v>0</v>
      </c>
      <c r="K136" s="38">
        <f>G136*AP136</f>
        <v>0</v>
      </c>
      <c r="L136" s="38">
        <f>G136*H136</f>
        <v>0</v>
      </c>
      <c r="M136" s="38">
        <f>L136*(1+BW136/100)</f>
        <v>0</v>
      </c>
      <c r="N136" s="38">
        <v>3.9699999999999996E-3</v>
      </c>
      <c r="O136" s="38">
        <f>G136*N136</f>
        <v>5.9549999999999994E-3</v>
      </c>
      <c r="P136" s="40" t="s">
        <v>60</v>
      </c>
      <c r="Z136" s="38">
        <f>IF(AQ136="5",BJ136,0)</f>
        <v>0</v>
      </c>
      <c r="AB136" s="38">
        <f>IF(AQ136="1",BH136,0)</f>
        <v>0</v>
      </c>
      <c r="AC136" s="38">
        <f>IF(AQ136="1",BI136,0)</f>
        <v>0</v>
      </c>
      <c r="AD136" s="38">
        <f>IF(AQ136="7",BH136,0)</f>
        <v>0</v>
      </c>
      <c r="AE136" s="38">
        <f>IF(AQ136="7",BI136,0)</f>
        <v>0</v>
      </c>
      <c r="AF136" s="38">
        <f>IF(AQ136="2",BH136,0)</f>
        <v>0</v>
      </c>
      <c r="AG136" s="38">
        <f>IF(AQ136="2",BI136,0)</f>
        <v>0</v>
      </c>
      <c r="AH136" s="38">
        <f>IF(AQ136="0",BJ136,0)</f>
        <v>0</v>
      </c>
      <c r="AI136" s="13" t="s">
        <v>51</v>
      </c>
      <c r="AJ136" s="38">
        <f>IF(AN136=0,L136,0)</f>
        <v>0</v>
      </c>
      <c r="AK136" s="38">
        <f>IF(AN136=12,L136,0)</f>
        <v>0</v>
      </c>
      <c r="AL136" s="38">
        <f>IF(AN136=21,L136,0)</f>
        <v>0</v>
      </c>
      <c r="AN136" s="38">
        <v>21</v>
      </c>
      <c r="AO136" s="38">
        <f>H136*0.727755474</f>
        <v>0</v>
      </c>
      <c r="AP136" s="38">
        <f>H136*(1-0.727755474)</f>
        <v>0</v>
      </c>
      <c r="AQ136" s="39" t="s">
        <v>87</v>
      </c>
      <c r="AV136" s="38">
        <f>AW136+AX136</f>
        <v>0</v>
      </c>
      <c r="AW136" s="38">
        <f>G136*AO136</f>
        <v>0</v>
      </c>
      <c r="AX136" s="38">
        <f>G136*AP136</f>
        <v>0</v>
      </c>
      <c r="AY136" s="39" t="s">
        <v>341</v>
      </c>
      <c r="AZ136" s="39" t="s">
        <v>342</v>
      </c>
      <c r="BA136" s="13" t="s">
        <v>63</v>
      </c>
      <c r="BC136" s="38">
        <f>AW136+AX136</f>
        <v>0</v>
      </c>
      <c r="BD136" s="38">
        <f>H136/(100-BE136)*100</f>
        <v>0</v>
      </c>
      <c r="BE136" s="38">
        <v>0</v>
      </c>
      <c r="BF136" s="38">
        <f>O136</f>
        <v>5.9549999999999994E-3</v>
      </c>
      <c r="BH136" s="38">
        <f>G136*AO136</f>
        <v>0</v>
      </c>
      <c r="BI136" s="38">
        <f>G136*AP136</f>
        <v>0</v>
      </c>
      <c r="BJ136" s="38">
        <f>G136*H136</f>
        <v>0</v>
      </c>
      <c r="BK136" s="38"/>
      <c r="BL136" s="38">
        <v>721</v>
      </c>
      <c r="BW136" s="38" t="str">
        <f>I136</f>
        <v>21</v>
      </c>
      <c r="BX136" s="5" t="s">
        <v>354</v>
      </c>
    </row>
    <row r="137" spans="1:76" x14ac:dyDescent="0.25">
      <c r="A137" s="41"/>
      <c r="C137" s="42" t="s">
        <v>78</v>
      </c>
      <c r="D137" s="178" t="s">
        <v>355</v>
      </c>
      <c r="E137" s="179"/>
      <c r="F137" s="179"/>
      <c r="G137" s="179"/>
      <c r="H137" s="179"/>
      <c r="I137" s="179"/>
      <c r="J137" s="179"/>
      <c r="K137" s="179"/>
      <c r="L137" s="179"/>
      <c r="M137" s="179"/>
      <c r="N137" s="179"/>
      <c r="O137" s="179"/>
      <c r="P137" s="180"/>
      <c r="BX137" s="43" t="s">
        <v>355</v>
      </c>
    </row>
    <row r="138" spans="1:76" x14ac:dyDescent="0.25">
      <c r="A138" s="2" t="s">
        <v>356</v>
      </c>
      <c r="B138" s="3" t="s">
        <v>51</v>
      </c>
      <c r="C138" s="3" t="s">
        <v>357</v>
      </c>
      <c r="D138" s="106" t="s">
        <v>358</v>
      </c>
      <c r="E138" s="107"/>
      <c r="F138" s="3" t="s">
        <v>140</v>
      </c>
      <c r="G138" s="38">
        <v>1</v>
      </c>
      <c r="H138" s="98"/>
      <c r="I138" s="39" t="s">
        <v>59</v>
      </c>
      <c r="J138" s="38">
        <f>G138*AO138</f>
        <v>0</v>
      </c>
      <c r="K138" s="38">
        <f>G138*AP138</f>
        <v>0</v>
      </c>
      <c r="L138" s="38">
        <f>G138*H138</f>
        <v>0</v>
      </c>
      <c r="M138" s="38">
        <f>L138*(1+BW138/100)</f>
        <v>0</v>
      </c>
      <c r="N138" s="38">
        <v>6.2E-4</v>
      </c>
      <c r="O138" s="38">
        <f>G138*N138</f>
        <v>6.2E-4</v>
      </c>
      <c r="P138" s="40" t="s">
        <v>67</v>
      </c>
      <c r="Z138" s="38">
        <f>IF(AQ138="5",BJ138,0)</f>
        <v>0</v>
      </c>
      <c r="AB138" s="38">
        <f>IF(AQ138="1",BH138,0)</f>
        <v>0</v>
      </c>
      <c r="AC138" s="38">
        <f>IF(AQ138="1",BI138,0)</f>
        <v>0</v>
      </c>
      <c r="AD138" s="38">
        <f>IF(AQ138="7",BH138,0)</f>
        <v>0</v>
      </c>
      <c r="AE138" s="38">
        <f>IF(AQ138="7",BI138,0)</f>
        <v>0</v>
      </c>
      <c r="AF138" s="38">
        <f>IF(AQ138="2",BH138,0)</f>
        <v>0</v>
      </c>
      <c r="AG138" s="38">
        <f>IF(AQ138="2",BI138,0)</f>
        <v>0</v>
      </c>
      <c r="AH138" s="38">
        <f>IF(AQ138="0",BJ138,0)</f>
        <v>0</v>
      </c>
      <c r="AI138" s="13" t="s">
        <v>51</v>
      </c>
      <c r="AJ138" s="38">
        <f>IF(AN138=0,L138,0)</f>
        <v>0</v>
      </c>
      <c r="AK138" s="38">
        <f>IF(AN138=12,L138,0)</f>
        <v>0</v>
      </c>
      <c r="AL138" s="38">
        <f>IF(AN138=21,L138,0)</f>
        <v>0</v>
      </c>
      <c r="AN138" s="38">
        <v>21</v>
      </c>
      <c r="AO138" s="38">
        <f>H138*0.318423333</f>
        <v>0</v>
      </c>
      <c r="AP138" s="38">
        <f>H138*(1-0.318423333)</f>
        <v>0</v>
      </c>
      <c r="AQ138" s="39" t="s">
        <v>87</v>
      </c>
      <c r="AV138" s="38">
        <f>AW138+AX138</f>
        <v>0</v>
      </c>
      <c r="AW138" s="38">
        <f>G138*AO138</f>
        <v>0</v>
      </c>
      <c r="AX138" s="38">
        <f>G138*AP138</f>
        <v>0</v>
      </c>
      <c r="AY138" s="39" t="s">
        <v>341</v>
      </c>
      <c r="AZ138" s="39" t="s">
        <v>342</v>
      </c>
      <c r="BA138" s="13" t="s">
        <v>63</v>
      </c>
      <c r="BC138" s="38">
        <f>AW138+AX138</f>
        <v>0</v>
      </c>
      <c r="BD138" s="38">
        <f>H138/(100-BE138)*100</f>
        <v>0</v>
      </c>
      <c r="BE138" s="38">
        <v>0</v>
      </c>
      <c r="BF138" s="38">
        <f>O138</f>
        <v>6.2E-4</v>
      </c>
      <c r="BH138" s="38">
        <f>G138*AO138</f>
        <v>0</v>
      </c>
      <c r="BI138" s="38">
        <f>G138*AP138</f>
        <v>0</v>
      </c>
      <c r="BJ138" s="38">
        <f>G138*H138</f>
        <v>0</v>
      </c>
      <c r="BK138" s="38"/>
      <c r="BL138" s="38">
        <v>721</v>
      </c>
      <c r="BW138" s="38" t="str">
        <f>I138</f>
        <v>21</v>
      </c>
      <c r="BX138" s="5" t="s">
        <v>358</v>
      </c>
    </row>
    <row r="139" spans="1:76" ht="13.5" customHeight="1" x14ac:dyDescent="0.25">
      <c r="A139" s="41"/>
      <c r="C139" s="42" t="s">
        <v>97</v>
      </c>
      <c r="D139" s="178" t="s">
        <v>359</v>
      </c>
      <c r="E139" s="179"/>
      <c r="F139" s="179"/>
      <c r="G139" s="179"/>
      <c r="H139" s="179"/>
      <c r="I139" s="179"/>
      <c r="J139" s="179"/>
      <c r="K139" s="179"/>
      <c r="L139" s="179"/>
      <c r="M139" s="179"/>
      <c r="N139" s="179"/>
      <c r="O139" s="179"/>
      <c r="P139" s="180"/>
    </row>
    <row r="140" spans="1:76" x14ac:dyDescent="0.25">
      <c r="A140" s="2" t="s">
        <v>360</v>
      </c>
      <c r="B140" s="3" t="s">
        <v>51</v>
      </c>
      <c r="C140" s="3" t="s">
        <v>361</v>
      </c>
      <c r="D140" s="106" t="s">
        <v>362</v>
      </c>
      <c r="E140" s="107"/>
      <c r="F140" s="3" t="s">
        <v>58</v>
      </c>
      <c r="G140" s="38">
        <v>8</v>
      </c>
      <c r="H140" s="98"/>
      <c r="I140" s="39" t="s">
        <v>59</v>
      </c>
      <c r="J140" s="38">
        <f>G140*AO140</f>
        <v>0</v>
      </c>
      <c r="K140" s="38">
        <f>G140*AP140</f>
        <v>0</v>
      </c>
      <c r="L140" s="38">
        <f>G140*H140</f>
        <v>0</v>
      </c>
      <c r="M140" s="38">
        <f>L140*(1+BW140/100)</f>
        <v>0</v>
      </c>
      <c r="N140" s="38">
        <v>0</v>
      </c>
      <c r="O140" s="38">
        <f>G140*N140</f>
        <v>0</v>
      </c>
      <c r="P140" s="40" t="s">
        <v>60</v>
      </c>
      <c r="Z140" s="38">
        <f>IF(AQ140="5",BJ140,0)</f>
        <v>0</v>
      </c>
      <c r="AB140" s="38">
        <f>IF(AQ140="1",BH140,0)</f>
        <v>0</v>
      </c>
      <c r="AC140" s="38">
        <f>IF(AQ140="1",BI140,0)</f>
        <v>0</v>
      </c>
      <c r="AD140" s="38">
        <f>IF(AQ140="7",BH140,0)</f>
        <v>0</v>
      </c>
      <c r="AE140" s="38">
        <f>IF(AQ140="7",BI140,0)</f>
        <v>0</v>
      </c>
      <c r="AF140" s="38">
        <f>IF(AQ140="2",BH140,0)</f>
        <v>0</v>
      </c>
      <c r="AG140" s="38">
        <f>IF(AQ140="2",BI140,0)</f>
        <v>0</v>
      </c>
      <c r="AH140" s="38">
        <f>IF(AQ140="0",BJ140,0)</f>
        <v>0</v>
      </c>
      <c r="AI140" s="13" t="s">
        <v>51</v>
      </c>
      <c r="AJ140" s="38">
        <f>IF(AN140=0,L140,0)</f>
        <v>0</v>
      </c>
      <c r="AK140" s="38">
        <f>IF(AN140=12,L140,0)</f>
        <v>0</v>
      </c>
      <c r="AL140" s="38">
        <f>IF(AN140=21,L140,0)</f>
        <v>0</v>
      </c>
      <c r="AN140" s="38">
        <v>21</v>
      </c>
      <c r="AO140" s="38">
        <f>H140*0</f>
        <v>0</v>
      </c>
      <c r="AP140" s="38">
        <f>H140*(1-0)</f>
        <v>0</v>
      </c>
      <c r="AQ140" s="39" t="s">
        <v>87</v>
      </c>
      <c r="AV140" s="38">
        <f>AW140+AX140</f>
        <v>0</v>
      </c>
      <c r="AW140" s="38">
        <f>G140*AO140</f>
        <v>0</v>
      </c>
      <c r="AX140" s="38">
        <f>G140*AP140</f>
        <v>0</v>
      </c>
      <c r="AY140" s="39" t="s">
        <v>341</v>
      </c>
      <c r="AZ140" s="39" t="s">
        <v>342</v>
      </c>
      <c r="BA140" s="13" t="s">
        <v>63</v>
      </c>
      <c r="BC140" s="38">
        <f>AW140+AX140</f>
        <v>0</v>
      </c>
      <c r="BD140" s="38">
        <f>H140/(100-BE140)*100</f>
        <v>0</v>
      </c>
      <c r="BE140" s="38">
        <v>0</v>
      </c>
      <c r="BF140" s="38">
        <f>O140</f>
        <v>0</v>
      </c>
      <c r="BH140" s="38">
        <f>G140*AO140</f>
        <v>0</v>
      </c>
      <c r="BI140" s="38">
        <f>G140*AP140</f>
        <v>0</v>
      </c>
      <c r="BJ140" s="38">
        <f>G140*H140</f>
        <v>0</v>
      </c>
      <c r="BK140" s="38"/>
      <c r="BL140" s="38">
        <v>721</v>
      </c>
      <c r="BW140" s="38" t="str">
        <f>I140</f>
        <v>21</v>
      </c>
      <c r="BX140" s="5" t="s">
        <v>362</v>
      </c>
    </row>
    <row r="141" spans="1:76" x14ac:dyDescent="0.25">
      <c r="A141" s="2" t="s">
        <v>363</v>
      </c>
      <c r="B141" s="3" t="s">
        <v>51</v>
      </c>
      <c r="C141" s="3" t="s">
        <v>364</v>
      </c>
      <c r="D141" s="106" t="s">
        <v>365</v>
      </c>
      <c r="E141" s="107"/>
      <c r="F141" s="3" t="s">
        <v>58</v>
      </c>
      <c r="G141" s="38">
        <v>5</v>
      </c>
      <c r="H141" s="98"/>
      <c r="I141" s="39" t="s">
        <v>59</v>
      </c>
      <c r="J141" s="38">
        <f>G141*AO141</f>
        <v>0</v>
      </c>
      <c r="K141" s="38">
        <f>G141*AP141</f>
        <v>0</v>
      </c>
      <c r="L141" s="38">
        <f>G141*H141</f>
        <v>0</v>
      </c>
      <c r="M141" s="38">
        <f>L141*(1+BW141/100)</f>
        <v>0</v>
      </c>
      <c r="N141" s="38">
        <v>0</v>
      </c>
      <c r="O141" s="38">
        <f>G141*N141</f>
        <v>0</v>
      </c>
      <c r="P141" s="40" t="s">
        <v>60</v>
      </c>
      <c r="Z141" s="38">
        <f>IF(AQ141="5",BJ141,0)</f>
        <v>0</v>
      </c>
      <c r="AB141" s="38">
        <f>IF(AQ141="1",BH141,0)</f>
        <v>0</v>
      </c>
      <c r="AC141" s="38">
        <f>IF(AQ141="1",BI141,0)</f>
        <v>0</v>
      </c>
      <c r="AD141" s="38">
        <f>IF(AQ141="7",BH141,0)</f>
        <v>0</v>
      </c>
      <c r="AE141" s="38">
        <f>IF(AQ141="7",BI141,0)</f>
        <v>0</v>
      </c>
      <c r="AF141" s="38">
        <f>IF(AQ141="2",BH141,0)</f>
        <v>0</v>
      </c>
      <c r="AG141" s="38">
        <f>IF(AQ141="2",BI141,0)</f>
        <v>0</v>
      </c>
      <c r="AH141" s="38">
        <f>IF(AQ141="0",BJ141,0)</f>
        <v>0</v>
      </c>
      <c r="AI141" s="13" t="s">
        <v>51</v>
      </c>
      <c r="AJ141" s="38">
        <f>IF(AN141=0,L141,0)</f>
        <v>0</v>
      </c>
      <c r="AK141" s="38">
        <f>IF(AN141=12,L141,0)</f>
        <v>0</v>
      </c>
      <c r="AL141" s="38">
        <f>IF(AN141=21,L141,0)</f>
        <v>0</v>
      </c>
      <c r="AN141" s="38">
        <v>21</v>
      </c>
      <c r="AO141" s="38">
        <f>H141*0</f>
        <v>0</v>
      </c>
      <c r="AP141" s="38">
        <f>H141*(1-0)</f>
        <v>0</v>
      </c>
      <c r="AQ141" s="39" t="s">
        <v>87</v>
      </c>
      <c r="AV141" s="38">
        <f>AW141+AX141</f>
        <v>0</v>
      </c>
      <c r="AW141" s="38">
        <f>G141*AO141</f>
        <v>0</v>
      </c>
      <c r="AX141" s="38">
        <f>G141*AP141</f>
        <v>0</v>
      </c>
      <c r="AY141" s="39" t="s">
        <v>341</v>
      </c>
      <c r="AZ141" s="39" t="s">
        <v>342</v>
      </c>
      <c r="BA141" s="13" t="s">
        <v>63</v>
      </c>
      <c r="BC141" s="38">
        <f>AW141+AX141</f>
        <v>0</v>
      </c>
      <c r="BD141" s="38">
        <f>H141/(100-BE141)*100</f>
        <v>0</v>
      </c>
      <c r="BE141" s="38">
        <v>0</v>
      </c>
      <c r="BF141" s="38">
        <f>O141</f>
        <v>0</v>
      </c>
      <c r="BH141" s="38">
        <f>G141*AO141</f>
        <v>0</v>
      </c>
      <c r="BI141" s="38">
        <f>G141*AP141</f>
        <v>0</v>
      </c>
      <c r="BJ141" s="38">
        <f>G141*H141</f>
        <v>0</v>
      </c>
      <c r="BK141" s="38"/>
      <c r="BL141" s="38">
        <v>721</v>
      </c>
      <c r="BW141" s="38" t="str">
        <f>I141</f>
        <v>21</v>
      </c>
      <c r="BX141" s="5" t="s">
        <v>365</v>
      </c>
    </row>
    <row r="142" spans="1:76" x14ac:dyDescent="0.25">
      <c r="A142" s="2" t="s">
        <v>366</v>
      </c>
      <c r="B142" s="3" t="s">
        <v>51</v>
      </c>
      <c r="C142" s="3" t="s">
        <v>367</v>
      </c>
      <c r="D142" s="106" t="s">
        <v>368</v>
      </c>
      <c r="E142" s="107"/>
      <c r="F142" s="3" t="s">
        <v>58</v>
      </c>
      <c r="G142" s="38">
        <v>10</v>
      </c>
      <c r="H142" s="98"/>
      <c r="I142" s="39" t="s">
        <v>59</v>
      </c>
      <c r="J142" s="38">
        <f>G142*AO142</f>
        <v>0</v>
      </c>
      <c r="K142" s="38">
        <f>G142*AP142</f>
        <v>0</v>
      </c>
      <c r="L142" s="38">
        <f>G142*H142</f>
        <v>0</v>
      </c>
      <c r="M142" s="38">
        <f>L142*(1+BW142/100)</f>
        <v>0</v>
      </c>
      <c r="N142" s="38">
        <v>0</v>
      </c>
      <c r="O142" s="38">
        <f>G142*N142</f>
        <v>0</v>
      </c>
      <c r="P142" s="40" t="s">
        <v>60</v>
      </c>
      <c r="Z142" s="38">
        <f>IF(AQ142="5",BJ142,0)</f>
        <v>0</v>
      </c>
      <c r="AB142" s="38">
        <f>IF(AQ142="1",BH142,0)</f>
        <v>0</v>
      </c>
      <c r="AC142" s="38">
        <f>IF(AQ142="1",BI142,0)</f>
        <v>0</v>
      </c>
      <c r="AD142" s="38">
        <f>IF(AQ142="7",BH142,0)</f>
        <v>0</v>
      </c>
      <c r="AE142" s="38">
        <f>IF(AQ142="7",BI142,0)</f>
        <v>0</v>
      </c>
      <c r="AF142" s="38">
        <f>IF(AQ142="2",BH142,0)</f>
        <v>0</v>
      </c>
      <c r="AG142" s="38">
        <f>IF(AQ142="2",BI142,0)</f>
        <v>0</v>
      </c>
      <c r="AH142" s="38">
        <f>IF(AQ142="0",BJ142,0)</f>
        <v>0</v>
      </c>
      <c r="AI142" s="13" t="s">
        <v>51</v>
      </c>
      <c r="AJ142" s="38">
        <f>IF(AN142=0,L142,0)</f>
        <v>0</v>
      </c>
      <c r="AK142" s="38">
        <f>IF(AN142=12,L142,0)</f>
        <v>0</v>
      </c>
      <c r="AL142" s="38">
        <f>IF(AN142=21,L142,0)</f>
        <v>0</v>
      </c>
      <c r="AN142" s="38">
        <v>21</v>
      </c>
      <c r="AO142" s="38">
        <f>H142*0</f>
        <v>0</v>
      </c>
      <c r="AP142" s="38">
        <f>H142*(1-0)</f>
        <v>0</v>
      </c>
      <c r="AQ142" s="39" t="s">
        <v>87</v>
      </c>
      <c r="AV142" s="38">
        <f>AW142+AX142</f>
        <v>0</v>
      </c>
      <c r="AW142" s="38">
        <f>G142*AO142</f>
        <v>0</v>
      </c>
      <c r="AX142" s="38">
        <f>G142*AP142</f>
        <v>0</v>
      </c>
      <c r="AY142" s="39" t="s">
        <v>341</v>
      </c>
      <c r="AZ142" s="39" t="s">
        <v>342</v>
      </c>
      <c r="BA142" s="13" t="s">
        <v>63</v>
      </c>
      <c r="BC142" s="38">
        <f>AW142+AX142</f>
        <v>0</v>
      </c>
      <c r="BD142" s="38">
        <f>H142/(100-BE142)*100</f>
        <v>0</v>
      </c>
      <c r="BE142" s="38">
        <v>0</v>
      </c>
      <c r="BF142" s="38">
        <f>O142</f>
        <v>0</v>
      </c>
      <c r="BH142" s="38">
        <f>G142*AO142</f>
        <v>0</v>
      </c>
      <c r="BI142" s="38">
        <f>G142*AP142</f>
        <v>0</v>
      </c>
      <c r="BJ142" s="38">
        <f>G142*H142</f>
        <v>0</v>
      </c>
      <c r="BK142" s="38"/>
      <c r="BL142" s="38">
        <v>721</v>
      </c>
      <c r="BW142" s="38" t="str">
        <f>I142</f>
        <v>21</v>
      </c>
      <c r="BX142" s="5" t="s">
        <v>368</v>
      </c>
    </row>
    <row r="143" spans="1:76" x14ac:dyDescent="0.25">
      <c r="A143" s="2" t="s">
        <v>369</v>
      </c>
      <c r="B143" s="3" t="s">
        <v>51</v>
      </c>
      <c r="C143" s="3" t="s">
        <v>370</v>
      </c>
      <c r="D143" s="106" t="s">
        <v>371</v>
      </c>
      <c r="E143" s="107"/>
      <c r="F143" s="3" t="s">
        <v>58</v>
      </c>
      <c r="G143" s="38">
        <v>1</v>
      </c>
      <c r="H143" s="98"/>
      <c r="I143" s="39" t="s">
        <v>59</v>
      </c>
      <c r="J143" s="38">
        <f>G143*AO143</f>
        <v>0</v>
      </c>
      <c r="K143" s="38">
        <f>G143*AP143</f>
        <v>0</v>
      </c>
      <c r="L143" s="38">
        <f>G143*H143</f>
        <v>0</v>
      </c>
      <c r="M143" s="38">
        <f>L143*(1+BW143/100)</f>
        <v>0</v>
      </c>
      <c r="N143" s="38">
        <v>8.1999999999999998E-4</v>
      </c>
      <c r="O143" s="38">
        <f>G143*N143</f>
        <v>8.1999999999999998E-4</v>
      </c>
      <c r="P143" s="40" t="s">
        <v>67</v>
      </c>
      <c r="Z143" s="38">
        <f>IF(AQ143="5",BJ143,0)</f>
        <v>0</v>
      </c>
      <c r="AB143" s="38">
        <f>IF(AQ143="1",BH143,0)</f>
        <v>0</v>
      </c>
      <c r="AC143" s="38">
        <f>IF(AQ143="1",BI143,0)</f>
        <v>0</v>
      </c>
      <c r="AD143" s="38">
        <f>IF(AQ143="7",BH143,0)</f>
        <v>0</v>
      </c>
      <c r="AE143" s="38">
        <f>IF(AQ143="7",BI143,0)</f>
        <v>0</v>
      </c>
      <c r="AF143" s="38">
        <f>IF(AQ143="2",BH143,0)</f>
        <v>0</v>
      </c>
      <c r="AG143" s="38">
        <f>IF(AQ143="2",BI143,0)</f>
        <v>0</v>
      </c>
      <c r="AH143" s="38">
        <f>IF(AQ143="0",BJ143,0)</f>
        <v>0</v>
      </c>
      <c r="AI143" s="13" t="s">
        <v>51</v>
      </c>
      <c r="AJ143" s="38">
        <f>IF(AN143=0,L143,0)</f>
        <v>0</v>
      </c>
      <c r="AK143" s="38">
        <f>IF(AN143=12,L143,0)</f>
        <v>0</v>
      </c>
      <c r="AL143" s="38">
        <f>IF(AN143=21,L143,0)</f>
        <v>0</v>
      </c>
      <c r="AN143" s="38">
        <v>21</v>
      </c>
      <c r="AO143" s="38">
        <f>H143*0.91545269</f>
        <v>0</v>
      </c>
      <c r="AP143" s="38">
        <f>H143*(1-0.91545269)</f>
        <v>0</v>
      </c>
      <c r="AQ143" s="39" t="s">
        <v>87</v>
      </c>
      <c r="AV143" s="38">
        <f>AW143+AX143</f>
        <v>0</v>
      </c>
      <c r="AW143" s="38">
        <f>G143*AO143</f>
        <v>0</v>
      </c>
      <c r="AX143" s="38">
        <f>G143*AP143</f>
        <v>0</v>
      </c>
      <c r="AY143" s="39" t="s">
        <v>341</v>
      </c>
      <c r="AZ143" s="39" t="s">
        <v>342</v>
      </c>
      <c r="BA143" s="13" t="s">
        <v>63</v>
      </c>
      <c r="BC143" s="38">
        <f>AW143+AX143</f>
        <v>0</v>
      </c>
      <c r="BD143" s="38">
        <f>H143/(100-BE143)*100</f>
        <v>0</v>
      </c>
      <c r="BE143" s="38">
        <v>0</v>
      </c>
      <c r="BF143" s="38">
        <f>O143</f>
        <v>8.1999999999999998E-4</v>
      </c>
      <c r="BH143" s="38">
        <f>G143*AO143</f>
        <v>0</v>
      </c>
      <c r="BI143" s="38">
        <f>G143*AP143</f>
        <v>0</v>
      </c>
      <c r="BJ143" s="38">
        <f>G143*H143</f>
        <v>0</v>
      </c>
      <c r="BK143" s="38"/>
      <c r="BL143" s="38">
        <v>721</v>
      </c>
      <c r="BW143" s="38" t="str">
        <f>I143</f>
        <v>21</v>
      </c>
      <c r="BX143" s="5" t="s">
        <v>371</v>
      </c>
    </row>
    <row r="144" spans="1:76" ht="13.5" customHeight="1" x14ac:dyDescent="0.25">
      <c r="A144" s="41"/>
      <c r="C144" s="42" t="s">
        <v>97</v>
      </c>
      <c r="D144" s="178" t="s">
        <v>372</v>
      </c>
      <c r="E144" s="179"/>
      <c r="F144" s="179"/>
      <c r="G144" s="179"/>
      <c r="H144" s="179"/>
      <c r="I144" s="179"/>
      <c r="J144" s="179"/>
      <c r="K144" s="179"/>
      <c r="L144" s="179"/>
      <c r="M144" s="179"/>
      <c r="N144" s="179"/>
      <c r="O144" s="179"/>
      <c r="P144" s="180"/>
    </row>
    <row r="145" spans="1:76" ht="25.5" x14ac:dyDescent="0.25">
      <c r="A145" s="2" t="s">
        <v>373</v>
      </c>
      <c r="B145" s="3" t="s">
        <v>51</v>
      </c>
      <c r="C145" s="3" t="s">
        <v>374</v>
      </c>
      <c r="D145" s="106" t="s">
        <v>375</v>
      </c>
      <c r="E145" s="107"/>
      <c r="F145" s="3" t="s">
        <v>58</v>
      </c>
      <c r="G145" s="38">
        <v>1</v>
      </c>
      <c r="H145" s="98"/>
      <c r="I145" s="39" t="s">
        <v>59</v>
      </c>
      <c r="J145" s="38">
        <f>G145*AO145</f>
        <v>0</v>
      </c>
      <c r="K145" s="38">
        <f>G145*AP145</f>
        <v>0</v>
      </c>
      <c r="L145" s="38">
        <f>G145*H145</f>
        <v>0</v>
      </c>
      <c r="M145" s="38">
        <f>L145*(1+BW145/100)</f>
        <v>0</v>
      </c>
      <c r="N145" s="38">
        <v>8.8999999999999999E-3</v>
      </c>
      <c r="O145" s="38">
        <f>G145*N145</f>
        <v>8.8999999999999999E-3</v>
      </c>
      <c r="P145" s="40" t="s">
        <v>60</v>
      </c>
      <c r="Z145" s="38">
        <f>IF(AQ145="5",BJ145,0)</f>
        <v>0</v>
      </c>
      <c r="AB145" s="38">
        <f>IF(AQ145="1",BH145,0)</f>
        <v>0</v>
      </c>
      <c r="AC145" s="38">
        <f>IF(AQ145="1",BI145,0)</f>
        <v>0</v>
      </c>
      <c r="AD145" s="38">
        <f>IF(AQ145="7",BH145,0)</f>
        <v>0</v>
      </c>
      <c r="AE145" s="38">
        <f>IF(AQ145="7",BI145,0)</f>
        <v>0</v>
      </c>
      <c r="AF145" s="38">
        <f>IF(AQ145="2",BH145,0)</f>
        <v>0</v>
      </c>
      <c r="AG145" s="38">
        <f>IF(AQ145="2",BI145,0)</f>
        <v>0</v>
      </c>
      <c r="AH145" s="38">
        <f>IF(AQ145="0",BJ145,0)</f>
        <v>0</v>
      </c>
      <c r="AI145" s="13" t="s">
        <v>51</v>
      </c>
      <c r="AJ145" s="38">
        <f>IF(AN145=0,L145,0)</f>
        <v>0</v>
      </c>
      <c r="AK145" s="38">
        <f>IF(AN145=12,L145,0)</f>
        <v>0</v>
      </c>
      <c r="AL145" s="38">
        <f>IF(AN145=21,L145,0)</f>
        <v>0</v>
      </c>
      <c r="AN145" s="38">
        <v>21</v>
      </c>
      <c r="AO145" s="38">
        <f>H145*0.44720408</f>
        <v>0</v>
      </c>
      <c r="AP145" s="38">
        <f>H145*(1-0.44720408)</f>
        <v>0</v>
      </c>
      <c r="AQ145" s="39" t="s">
        <v>87</v>
      </c>
      <c r="AV145" s="38">
        <f>AW145+AX145</f>
        <v>0</v>
      </c>
      <c r="AW145" s="38">
        <f>G145*AO145</f>
        <v>0</v>
      </c>
      <c r="AX145" s="38">
        <f>G145*AP145</f>
        <v>0</v>
      </c>
      <c r="AY145" s="39" t="s">
        <v>341</v>
      </c>
      <c r="AZ145" s="39" t="s">
        <v>342</v>
      </c>
      <c r="BA145" s="13" t="s">
        <v>63</v>
      </c>
      <c r="BC145" s="38">
        <f>AW145+AX145</f>
        <v>0</v>
      </c>
      <c r="BD145" s="38">
        <f>H145/(100-BE145)*100</f>
        <v>0</v>
      </c>
      <c r="BE145" s="38">
        <v>0</v>
      </c>
      <c r="BF145" s="38">
        <f>O145</f>
        <v>8.8999999999999999E-3</v>
      </c>
      <c r="BH145" s="38">
        <f>G145*AO145</f>
        <v>0</v>
      </c>
      <c r="BI145" s="38">
        <f>G145*AP145</f>
        <v>0</v>
      </c>
      <c r="BJ145" s="38">
        <f>G145*H145</f>
        <v>0</v>
      </c>
      <c r="BK145" s="38"/>
      <c r="BL145" s="38">
        <v>721</v>
      </c>
      <c r="BW145" s="38" t="str">
        <f>I145</f>
        <v>21</v>
      </c>
      <c r="BX145" s="5" t="s">
        <v>375</v>
      </c>
    </row>
    <row r="146" spans="1:76" ht="25.5" x14ac:dyDescent="0.25">
      <c r="A146" s="2" t="s">
        <v>376</v>
      </c>
      <c r="B146" s="3" t="s">
        <v>51</v>
      </c>
      <c r="C146" s="3" t="s">
        <v>377</v>
      </c>
      <c r="D146" s="106" t="s">
        <v>378</v>
      </c>
      <c r="E146" s="107"/>
      <c r="F146" s="3" t="s">
        <v>58</v>
      </c>
      <c r="G146" s="38">
        <v>1</v>
      </c>
      <c r="H146" s="98"/>
      <c r="I146" s="39" t="s">
        <v>59</v>
      </c>
      <c r="J146" s="38">
        <f>G146*AO146</f>
        <v>0</v>
      </c>
      <c r="K146" s="38">
        <f>G146*AP146</f>
        <v>0</v>
      </c>
      <c r="L146" s="38">
        <f>G146*H146</f>
        <v>0</v>
      </c>
      <c r="M146" s="38">
        <f>L146*(1+BW146/100)</f>
        <v>0</v>
      </c>
      <c r="N146" s="38">
        <v>7.3200000000000001E-3</v>
      </c>
      <c r="O146" s="38">
        <f>G146*N146</f>
        <v>7.3200000000000001E-3</v>
      </c>
      <c r="P146" s="40" t="s">
        <v>60</v>
      </c>
      <c r="Z146" s="38">
        <f>IF(AQ146="5",BJ146,0)</f>
        <v>0</v>
      </c>
      <c r="AB146" s="38">
        <f>IF(AQ146="1",BH146,0)</f>
        <v>0</v>
      </c>
      <c r="AC146" s="38">
        <f>IF(AQ146="1",BI146,0)</f>
        <v>0</v>
      </c>
      <c r="AD146" s="38">
        <f>IF(AQ146="7",BH146,0)</f>
        <v>0</v>
      </c>
      <c r="AE146" s="38">
        <f>IF(AQ146="7",BI146,0)</f>
        <v>0</v>
      </c>
      <c r="AF146" s="38">
        <f>IF(AQ146="2",BH146,0)</f>
        <v>0</v>
      </c>
      <c r="AG146" s="38">
        <f>IF(AQ146="2",BI146,0)</f>
        <v>0</v>
      </c>
      <c r="AH146" s="38">
        <f>IF(AQ146="0",BJ146,0)</f>
        <v>0</v>
      </c>
      <c r="AI146" s="13" t="s">
        <v>51</v>
      </c>
      <c r="AJ146" s="38">
        <f>IF(AN146=0,L146,0)</f>
        <v>0</v>
      </c>
      <c r="AK146" s="38">
        <f>IF(AN146=12,L146,0)</f>
        <v>0</v>
      </c>
      <c r="AL146" s="38">
        <f>IF(AN146=21,L146,0)</f>
        <v>0</v>
      </c>
      <c r="AN146" s="38">
        <v>21</v>
      </c>
      <c r="AO146" s="38">
        <f>H146*0.350289017</f>
        <v>0</v>
      </c>
      <c r="AP146" s="38">
        <f>H146*(1-0.350289017)</f>
        <v>0</v>
      </c>
      <c r="AQ146" s="39" t="s">
        <v>87</v>
      </c>
      <c r="AV146" s="38">
        <f>AW146+AX146</f>
        <v>0</v>
      </c>
      <c r="AW146" s="38">
        <f>G146*AO146</f>
        <v>0</v>
      </c>
      <c r="AX146" s="38">
        <f>G146*AP146</f>
        <v>0</v>
      </c>
      <c r="AY146" s="39" t="s">
        <v>341</v>
      </c>
      <c r="AZ146" s="39" t="s">
        <v>342</v>
      </c>
      <c r="BA146" s="13" t="s">
        <v>63</v>
      </c>
      <c r="BC146" s="38">
        <f>AW146+AX146</f>
        <v>0</v>
      </c>
      <c r="BD146" s="38">
        <f>H146/(100-BE146)*100</f>
        <v>0</v>
      </c>
      <c r="BE146" s="38">
        <v>0</v>
      </c>
      <c r="BF146" s="38">
        <f>O146</f>
        <v>7.3200000000000001E-3</v>
      </c>
      <c r="BH146" s="38">
        <f>G146*AO146</f>
        <v>0</v>
      </c>
      <c r="BI146" s="38">
        <f>G146*AP146</f>
        <v>0</v>
      </c>
      <c r="BJ146" s="38">
        <f>G146*H146</f>
        <v>0</v>
      </c>
      <c r="BK146" s="38"/>
      <c r="BL146" s="38">
        <v>721</v>
      </c>
      <c r="BW146" s="38" t="str">
        <f>I146</f>
        <v>21</v>
      </c>
      <c r="BX146" s="5" t="s">
        <v>378</v>
      </c>
    </row>
    <row r="147" spans="1:76" x14ac:dyDescent="0.25">
      <c r="A147" s="2" t="s">
        <v>379</v>
      </c>
      <c r="B147" s="3" t="s">
        <v>51</v>
      </c>
      <c r="C147" s="3" t="s">
        <v>380</v>
      </c>
      <c r="D147" s="106" t="s">
        <v>381</v>
      </c>
      <c r="E147" s="107"/>
      <c r="F147" s="3" t="s">
        <v>108</v>
      </c>
      <c r="G147" s="38">
        <v>4</v>
      </c>
      <c r="H147" s="98"/>
      <c r="I147" s="39" t="s">
        <v>59</v>
      </c>
      <c r="J147" s="38">
        <f>G147*AO147</f>
        <v>0</v>
      </c>
      <c r="K147" s="38">
        <f>G147*AP147</f>
        <v>0</v>
      </c>
      <c r="L147" s="38">
        <f>G147*H147</f>
        <v>0</v>
      </c>
      <c r="M147" s="38">
        <f>L147*(1+BW147/100)</f>
        <v>0</v>
      </c>
      <c r="N147" s="38">
        <v>2.0999999999999999E-3</v>
      </c>
      <c r="O147" s="38">
        <f>G147*N147</f>
        <v>8.3999999999999995E-3</v>
      </c>
      <c r="P147" s="40" t="s">
        <v>60</v>
      </c>
      <c r="Z147" s="38">
        <f>IF(AQ147="5",BJ147,0)</f>
        <v>0</v>
      </c>
      <c r="AB147" s="38">
        <f>IF(AQ147="1",BH147,0)</f>
        <v>0</v>
      </c>
      <c r="AC147" s="38">
        <f>IF(AQ147="1",BI147,0)</f>
        <v>0</v>
      </c>
      <c r="AD147" s="38">
        <f>IF(AQ147="7",BH147,0)</f>
        <v>0</v>
      </c>
      <c r="AE147" s="38">
        <f>IF(AQ147="7",BI147,0)</f>
        <v>0</v>
      </c>
      <c r="AF147" s="38">
        <f>IF(AQ147="2",BH147,0)</f>
        <v>0</v>
      </c>
      <c r="AG147" s="38">
        <f>IF(AQ147="2",BI147,0)</f>
        <v>0</v>
      </c>
      <c r="AH147" s="38">
        <f>IF(AQ147="0",BJ147,0)</f>
        <v>0</v>
      </c>
      <c r="AI147" s="13" t="s">
        <v>51</v>
      </c>
      <c r="AJ147" s="38">
        <f>IF(AN147=0,L147,0)</f>
        <v>0</v>
      </c>
      <c r="AK147" s="38">
        <f>IF(AN147=12,L147,0)</f>
        <v>0</v>
      </c>
      <c r="AL147" s="38">
        <f>IF(AN147=21,L147,0)</f>
        <v>0</v>
      </c>
      <c r="AN147" s="38">
        <v>21</v>
      </c>
      <c r="AO147" s="38">
        <f>H147*0</f>
        <v>0</v>
      </c>
      <c r="AP147" s="38">
        <f>H147*(1-0)</f>
        <v>0</v>
      </c>
      <c r="AQ147" s="39" t="s">
        <v>87</v>
      </c>
      <c r="AV147" s="38">
        <f>AW147+AX147</f>
        <v>0</v>
      </c>
      <c r="AW147" s="38">
        <f>G147*AO147</f>
        <v>0</v>
      </c>
      <c r="AX147" s="38">
        <f>G147*AP147</f>
        <v>0</v>
      </c>
      <c r="AY147" s="39" t="s">
        <v>341</v>
      </c>
      <c r="AZ147" s="39" t="s">
        <v>342</v>
      </c>
      <c r="BA147" s="13" t="s">
        <v>63</v>
      </c>
      <c r="BC147" s="38">
        <f>AW147+AX147</f>
        <v>0</v>
      </c>
      <c r="BD147" s="38">
        <f>H147/(100-BE147)*100</f>
        <v>0</v>
      </c>
      <c r="BE147" s="38">
        <v>0</v>
      </c>
      <c r="BF147" s="38">
        <f>O147</f>
        <v>8.3999999999999995E-3</v>
      </c>
      <c r="BH147" s="38">
        <f>G147*AO147</f>
        <v>0</v>
      </c>
      <c r="BI147" s="38">
        <f>G147*AP147</f>
        <v>0</v>
      </c>
      <c r="BJ147" s="38">
        <f>G147*H147</f>
        <v>0</v>
      </c>
      <c r="BK147" s="38"/>
      <c r="BL147" s="38">
        <v>721</v>
      </c>
      <c r="BW147" s="38" t="str">
        <f>I147</f>
        <v>21</v>
      </c>
      <c r="BX147" s="5" t="s">
        <v>381</v>
      </c>
    </row>
    <row r="148" spans="1:76" x14ac:dyDescent="0.25">
      <c r="A148" s="2" t="s">
        <v>382</v>
      </c>
      <c r="B148" s="3" t="s">
        <v>51</v>
      </c>
      <c r="C148" s="3" t="s">
        <v>383</v>
      </c>
      <c r="D148" s="106" t="s">
        <v>384</v>
      </c>
      <c r="E148" s="107"/>
      <c r="F148" s="3" t="s">
        <v>108</v>
      </c>
      <c r="G148" s="38">
        <v>20</v>
      </c>
      <c r="H148" s="98"/>
      <c r="I148" s="39" t="s">
        <v>59</v>
      </c>
      <c r="J148" s="38">
        <f>G148*AO148</f>
        <v>0</v>
      </c>
      <c r="K148" s="38">
        <f>G148*AP148</f>
        <v>0</v>
      </c>
      <c r="L148" s="38">
        <f>G148*H148</f>
        <v>0</v>
      </c>
      <c r="M148" s="38">
        <f>L148*(1+BW148/100)</f>
        <v>0</v>
      </c>
      <c r="N148" s="38">
        <v>0</v>
      </c>
      <c r="O148" s="38">
        <f>G148*N148</f>
        <v>0</v>
      </c>
      <c r="P148" s="40" t="s">
        <v>60</v>
      </c>
      <c r="Z148" s="38">
        <f>IF(AQ148="5",BJ148,0)</f>
        <v>0</v>
      </c>
      <c r="AB148" s="38">
        <f>IF(AQ148="1",BH148,0)</f>
        <v>0</v>
      </c>
      <c r="AC148" s="38">
        <f>IF(AQ148="1",BI148,0)</f>
        <v>0</v>
      </c>
      <c r="AD148" s="38">
        <f>IF(AQ148="7",BH148,0)</f>
        <v>0</v>
      </c>
      <c r="AE148" s="38">
        <f>IF(AQ148="7",BI148,0)</f>
        <v>0</v>
      </c>
      <c r="AF148" s="38">
        <f>IF(AQ148="2",BH148,0)</f>
        <v>0</v>
      </c>
      <c r="AG148" s="38">
        <f>IF(AQ148="2",BI148,0)</f>
        <v>0</v>
      </c>
      <c r="AH148" s="38">
        <f>IF(AQ148="0",BJ148,0)</f>
        <v>0</v>
      </c>
      <c r="AI148" s="13" t="s">
        <v>51</v>
      </c>
      <c r="AJ148" s="38">
        <f>IF(AN148=0,L148,0)</f>
        <v>0</v>
      </c>
      <c r="AK148" s="38">
        <f>IF(AN148=12,L148,0)</f>
        <v>0</v>
      </c>
      <c r="AL148" s="38">
        <f>IF(AN148=21,L148,0)</f>
        <v>0</v>
      </c>
      <c r="AN148" s="38">
        <v>21</v>
      </c>
      <c r="AO148" s="38">
        <f>H148*0.028888889</f>
        <v>0</v>
      </c>
      <c r="AP148" s="38">
        <f>H148*(1-0.028888889)</f>
        <v>0</v>
      </c>
      <c r="AQ148" s="39" t="s">
        <v>87</v>
      </c>
      <c r="AV148" s="38">
        <f>AW148+AX148</f>
        <v>0</v>
      </c>
      <c r="AW148" s="38">
        <f>G148*AO148</f>
        <v>0</v>
      </c>
      <c r="AX148" s="38">
        <f>G148*AP148</f>
        <v>0</v>
      </c>
      <c r="AY148" s="39" t="s">
        <v>341</v>
      </c>
      <c r="AZ148" s="39" t="s">
        <v>342</v>
      </c>
      <c r="BA148" s="13" t="s">
        <v>63</v>
      </c>
      <c r="BC148" s="38">
        <f>AW148+AX148</f>
        <v>0</v>
      </c>
      <c r="BD148" s="38">
        <f>H148/(100-BE148)*100</f>
        <v>0</v>
      </c>
      <c r="BE148" s="38">
        <v>0</v>
      </c>
      <c r="BF148" s="38">
        <f>O148</f>
        <v>0</v>
      </c>
      <c r="BH148" s="38">
        <f>G148*AO148</f>
        <v>0</v>
      </c>
      <c r="BI148" s="38">
        <f>G148*AP148</f>
        <v>0</v>
      </c>
      <c r="BJ148" s="38">
        <f>G148*H148</f>
        <v>0</v>
      </c>
      <c r="BK148" s="38"/>
      <c r="BL148" s="38">
        <v>721</v>
      </c>
      <c r="BW148" s="38" t="str">
        <f>I148</f>
        <v>21</v>
      </c>
      <c r="BX148" s="5" t="s">
        <v>384</v>
      </c>
    </row>
    <row r="149" spans="1:76" ht="25.5" x14ac:dyDescent="0.25">
      <c r="A149" s="41"/>
      <c r="C149" s="42" t="s">
        <v>78</v>
      </c>
      <c r="D149" s="178" t="s">
        <v>385</v>
      </c>
      <c r="E149" s="179"/>
      <c r="F149" s="179"/>
      <c r="G149" s="179"/>
      <c r="H149" s="179"/>
      <c r="I149" s="179"/>
      <c r="J149" s="179"/>
      <c r="K149" s="179"/>
      <c r="L149" s="179"/>
      <c r="M149" s="179"/>
      <c r="N149" s="179"/>
      <c r="O149" s="179"/>
      <c r="P149" s="180"/>
      <c r="BX149" s="43" t="s">
        <v>385</v>
      </c>
    </row>
    <row r="150" spans="1:76" x14ac:dyDescent="0.25">
      <c r="A150" s="2" t="s">
        <v>386</v>
      </c>
      <c r="B150" s="3" t="s">
        <v>51</v>
      </c>
      <c r="C150" s="3" t="s">
        <v>387</v>
      </c>
      <c r="D150" s="106" t="s">
        <v>388</v>
      </c>
      <c r="E150" s="107"/>
      <c r="F150" s="3" t="s">
        <v>166</v>
      </c>
      <c r="G150" s="38">
        <v>4.419E-2</v>
      </c>
      <c r="H150" s="98"/>
      <c r="I150" s="39" t="s">
        <v>59</v>
      </c>
      <c r="J150" s="38">
        <f>G150*AO150</f>
        <v>0</v>
      </c>
      <c r="K150" s="38">
        <f>G150*AP150</f>
        <v>0</v>
      </c>
      <c r="L150" s="38">
        <f>G150*H150</f>
        <v>0</v>
      </c>
      <c r="M150" s="38">
        <f>L150*(1+BW150/100)</f>
        <v>0</v>
      </c>
      <c r="N150" s="38">
        <v>0</v>
      </c>
      <c r="O150" s="38">
        <f>G150*N150</f>
        <v>0</v>
      </c>
      <c r="P150" s="40" t="s">
        <v>60</v>
      </c>
      <c r="Z150" s="38">
        <f>IF(AQ150="5",BJ150,0)</f>
        <v>0</v>
      </c>
      <c r="AB150" s="38">
        <f>IF(AQ150="1",BH150,0)</f>
        <v>0</v>
      </c>
      <c r="AC150" s="38">
        <f>IF(AQ150="1",BI150,0)</f>
        <v>0</v>
      </c>
      <c r="AD150" s="38">
        <f>IF(AQ150="7",BH150,0)</f>
        <v>0</v>
      </c>
      <c r="AE150" s="38">
        <f>IF(AQ150="7",BI150,0)</f>
        <v>0</v>
      </c>
      <c r="AF150" s="38">
        <f>IF(AQ150="2",BH150,0)</f>
        <v>0</v>
      </c>
      <c r="AG150" s="38">
        <f>IF(AQ150="2",BI150,0)</f>
        <v>0</v>
      </c>
      <c r="AH150" s="38">
        <f>IF(AQ150="0",BJ150,0)</f>
        <v>0</v>
      </c>
      <c r="AI150" s="13" t="s">
        <v>51</v>
      </c>
      <c r="AJ150" s="38">
        <f>IF(AN150=0,L150,0)</f>
        <v>0</v>
      </c>
      <c r="AK150" s="38">
        <f>IF(AN150=12,L150,0)</f>
        <v>0</v>
      </c>
      <c r="AL150" s="38">
        <f>IF(AN150=21,L150,0)</f>
        <v>0</v>
      </c>
      <c r="AN150" s="38">
        <v>21</v>
      </c>
      <c r="AO150" s="38">
        <f>H150*0</f>
        <v>0</v>
      </c>
      <c r="AP150" s="38">
        <f>H150*(1-0)</f>
        <v>0</v>
      </c>
      <c r="AQ150" s="39" t="s">
        <v>80</v>
      </c>
      <c r="AV150" s="38">
        <f>AW150+AX150</f>
        <v>0</v>
      </c>
      <c r="AW150" s="38">
        <f>G150*AO150</f>
        <v>0</v>
      </c>
      <c r="AX150" s="38">
        <f>G150*AP150</f>
        <v>0</v>
      </c>
      <c r="AY150" s="39" t="s">
        <v>341</v>
      </c>
      <c r="AZ150" s="39" t="s">
        <v>342</v>
      </c>
      <c r="BA150" s="13" t="s">
        <v>63</v>
      </c>
      <c r="BC150" s="38">
        <f>AW150+AX150</f>
        <v>0</v>
      </c>
      <c r="BD150" s="38">
        <f>H150/(100-BE150)*100</f>
        <v>0</v>
      </c>
      <c r="BE150" s="38">
        <v>0</v>
      </c>
      <c r="BF150" s="38">
        <f>O150</f>
        <v>0</v>
      </c>
      <c r="BH150" s="38">
        <f>G150*AO150</f>
        <v>0</v>
      </c>
      <c r="BI150" s="38">
        <f>G150*AP150</f>
        <v>0</v>
      </c>
      <c r="BJ150" s="38">
        <f>G150*H150</f>
        <v>0</v>
      </c>
      <c r="BK150" s="38"/>
      <c r="BL150" s="38">
        <v>721</v>
      </c>
      <c r="BW150" s="38" t="str">
        <f>I150</f>
        <v>21</v>
      </c>
      <c r="BX150" s="5" t="s">
        <v>388</v>
      </c>
    </row>
    <row r="151" spans="1:76" x14ac:dyDescent="0.25">
      <c r="A151" s="33" t="s">
        <v>50</v>
      </c>
      <c r="B151" s="34" t="s">
        <v>51</v>
      </c>
      <c r="C151" s="34" t="s">
        <v>389</v>
      </c>
      <c r="D151" s="174" t="s">
        <v>390</v>
      </c>
      <c r="E151" s="175"/>
      <c r="F151" s="36" t="s">
        <v>4</v>
      </c>
      <c r="G151" s="36" t="s">
        <v>4</v>
      </c>
      <c r="H151" s="36" t="s">
        <v>4</v>
      </c>
      <c r="I151" s="36" t="s">
        <v>4</v>
      </c>
      <c r="J151" s="1">
        <f>SUM(J152:J166)</f>
        <v>0</v>
      </c>
      <c r="K151" s="1">
        <f>SUM(K152:K166)</f>
        <v>0</v>
      </c>
      <c r="L151" s="1">
        <f>SUM(L152:L166)</f>
        <v>0</v>
      </c>
      <c r="M151" s="1">
        <f>SUM(M152:M166)</f>
        <v>0</v>
      </c>
      <c r="N151" s="13" t="s">
        <v>50</v>
      </c>
      <c r="O151" s="1">
        <f>SUM(O152:O166)</f>
        <v>0.22066999999999998</v>
      </c>
      <c r="P151" s="37" t="s">
        <v>50</v>
      </c>
      <c r="AI151" s="13" t="s">
        <v>51</v>
      </c>
      <c r="AS151" s="1">
        <f>SUM(AJ152:AJ166)</f>
        <v>0</v>
      </c>
      <c r="AT151" s="1">
        <f>SUM(AK152:AK166)</f>
        <v>0</v>
      </c>
      <c r="AU151" s="1">
        <f>SUM(AL152:AL166)</f>
        <v>0</v>
      </c>
    </row>
    <row r="152" spans="1:76" x14ac:dyDescent="0.25">
      <c r="A152" s="2" t="s">
        <v>391</v>
      </c>
      <c r="B152" s="3" t="s">
        <v>51</v>
      </c>
      <c r="C152" s="3" t="s">
        <v>392</v>
      </c>
      <c r="D152" s="106" t="s">
        <v>393</v>
      </c>
      <c r="E152" s="107"/>
      <c r="F152" s="3" t="s">
        <v>58</v>
      </c>
      <c r="G152" s="38">
        <v>2</v>
      </c>
      <c r="H152" s="98"/>
      <c r="I152" s="39" t="s">
        <v>59</v>
      </c>
      <c r="J152" s="38">
        <f>G152*AO152</f>
        <v>0</v>
      </c>
      <c r="K152" s="38">
        <f>G152*AP152</f>
        <v>0</v>
      </c>
      <c r="L152" s="38">
        <f>G152*H152</f>
        <v>0</v>
      </c>
      <c r="M152" s="38">
        <f>L152*(1+BW152/100)</f>
        <v>0</v>
      </c>
      <c r="N152" s="38">
        <v>1.1E-4</v>
      </c>
      <c r="O152" s="38">
        <f>G152*N152</f>
        <v>2.2000000000000001E-4</v>
      </c>
      <c r="P152" s="40" t="s">
        <v>60</v>
      </c>
      <c r="Z152" s="38">
        <f>IF(AQ152="5",BJ152,0)</f>
        <v>0</v>
      </c>
      <c r="AB152" s="38">
        <f>IF(AQ152="1",BH152,0)</f>
        <v>0</v>
      </c>
      <c r="AC152" s="38">
        <f>IF(AQ152="1",BI152,0)</f>
        <v>0</v>
      </c>
      <c r="AD152" s="38">
        <f>IF(AQ152="7",BH152,0)</f>
        <v>0</v>
      </c>
      <c r="AE152" s="38">
        <f>IF(AQ152="7",BI152,0)</f>
        <v>0</v>
      </c>
      <c r="AF152" s="38">
        <f>IF(AQ152="2",BH152,0)</f>
        <v>0</v>
      </c>
      <c r="AG152" s="38">
        <f>IF(AQ152="2",BI152,0)</f>
        <v>0</v>
      </c>
      <c r="AH152" s="38">
        <f>IF(AQ152="0",BJ152,0)</f>
        <v>0</v>
      </c>
      <c r="AI152" s="13" t="s">
        <v>51</v>
      </c>
      <c r="AJ152" s="38">
        <f>IF(AN152=0,L152,0)</f>
        <v>0</v>
      </c>
      <c r="AK152" s="38">
        <f>IF(AN152=12,L152,0)</f>
        <v>0</v>
      </c>
      <c r="AL152" s="38">
        <f>IF(AN152=21,L152,0)</f>
        <v>0</v>
      </c>
      <c r="AN152" s="38">
        <v>21</v>
      </c>
      <c r="AO152" s="38">
        <f>H152*0.414039939</f>
        <v>0</v>
      </c>
      <c r="AP152" s="38">
        <f>H152*(1-0.414039939)</f>
        <v>0</v>
      </c>
      <c r="AQ152" s="39" t="s">
        <v>87</v>
      </c>
      <c r="AV152" s="38">
        <f>AW152+AX152</f>
        <v>0</v>
      </c>
      <c r="AW152" s="38">
        <f>G152*AO152</f>
        <v>0</v>
      </c>
      <c r="AX152" s="38">
        <f>G152*AP152</f>
        <v>0</v>
      </c>
      <c r="AY152" s="39" t="s">
        <v>394</v>
      </c>
      <c r="AZ152" s="39" t="s">
        <v>342</v>
      </c>
      <c r="BA152" s="13" t="s">
        <v>63</v>
      </c>
      <c r="BC152" s="38">
        <f>AW152+AX152</f>
        <v>0</v>
      </c>
      <c r="BD152" s="38">
        <f>H152/(100-BE152)*100</f>
        <v>0</v>
      </c>
      <c r="BE152" s="38">
        <v>0</v>
      </c>
      <c r="BF152" s="38">
        <f>O152</f>
        <v>2.2000000000000001E-4</v>
      </c>
      <c r="BH152" s="38">
        <f>G152*AO152</f>
        <v>0</v>
      </c>
      <c r="BI152" s="38">
        <f>G152*AP152</f>
        <v>0</v>
      </c>
      <c r="BJ152" s="38">
        <f>G152*H152</f>
        <v>0</v>
      </c>
      <c r="BK152" s="38"/>
      <c r="BL152" s="38">
        <v>722</v>
      </c>
      <c r="BW152" s="38" t="str">
        <f>I152</f>
        <v>21</v>
      </c>
      <c r="BX152" s="5" t="s">
        <v>393</v>
      </c>
    </row>
    <row r="153" spans="1:76" x14ac:dyDescent="0.25">
      <c r="A153" s="2" t="s">
        <v>395</v>
      </c>
      <c r="B153" s="3" t="s">
        <v>51</v>
      </c>
      <c r="C153" s="3" t="s">
        <v>396</v>
      </c>
      <c r="D153" s="106" t="s">
        <v>397</v>
      </c>
      <c r="E153" s="107"/>
      <c r="F153" s="3" t="s">
        <v>58</v>
      </c>
      <c r="G153" s="38">
        <v>1</v>
      </c>
      <c r="H153" s="98"/>
      <c r="I153" s="39" t="s">
        <v>59</v>
      </c>
      <c r="J153" s="38">
        <f>G153*AO153</f>
        <v>0</v>
      </c>
      <c r="K153" s="38">
        <f>G153*AP153</f>
        <v>0</v>
      </c>
      <c r="L153" s="38">
        <f>G153*H153</f>
        <v>0</v>
      </c>
      <c r="M153" s="38">
        <f>L153*(1+BW153/100)</f>
        <v>0</v>
      </c>
      <c r="N153" s="38">
        <v>1.4999999999999999E-4</v>
      </c>
      <c r="O153" s="38">
        <f>G153*N153</f>
        <v>1.4999999999999999E-4</v>
      </c>
      <c r="P153" s="40" t="s">
        <v>60</v>
      </c>
      <c r="Z153" s="38">
        <f>IF(AQ153="5",BJ153,0)</f>
        <v>0</v>
      </c>
      <c r="AB153" s="38">
        <f>IF(AQ153="1",BH153,0)</f>
        <v>0</v>
      </c>
      <c r="AC153" s="38">
        <f>IF(AQ153="1",BI153,0)</f>
        <v>0</v>
      </c>
      <c r="AD153" s="38">
        <f>IF(AQ153="7",BH153,0)</f>
        <v>0</v>
      </c>
      <c r="AE153" s="38">
        <f>IF(AQ153="7",BI153,0)</f>
        <v>0</v>
      </c>
      <c r="AF153" s="38">
        <f>IF(AQ153="2",BH153,0)</f>
        <v>0</v>
      </c>
      <c r="AG153" s="38">
        <f>IF(AQ153="2",BI153,0)</f>
        <v>0</v>
      </c>
      <c r="AH153" s="38">
        <f>IF(AQ153="0",BJ153,0)</f>
        <v>0</v>
      </c>
      <c r="AI153" s="13" t="s">
        <v>51</v>
      </c>
      <c r="AJ153" s="38">
        <f>IF(AN153=0,L153,0)</f>
        <v>0</v>
      </c>
      <c r="AK153" s="38">
        <f>IF(AN153=12,L153,0)</f>
        <v>0</v>
      </c>
      <c r="AL153" s="38">
        <f>IF(AN153=21,L153,0)</f>
        <v>0</v>
      </c>
      <c r="AN153" s="38">
        <v>21</v>
      </c>
      <c r="AO153" s="38">
        <f>H153*0.516195006</f>
        <v>0</v>
      </c>
      <c r="AP153" s="38">
        <f>H153*(1-0.516195006)</f>
        <v>0</v>
      </c>
      <c r="AQ153" s="39" t="s">
        <v>87</v>
      </c>
      <c r="AV153" s="38">
        <f>AW153+AX153</f>
        <v>0</v>
      </c>
      <c r="AW153" s="38">
        <f>G153*AO153</f>
        <v>0</v>
      </c>
      <c r="AX153" s="38">
        <f>G153*AP153</f>
        <v>0</v>
      </c>
      <c r="AY153" s="39" t="s">
        <v>394</v>
      </c>
      <c r="AZ153" s="39" t="s">
        <v>342</v>
      </c>
      <c r="BA153" s="13" t="s">
        <v>63</v>
      </c>
      <c r="BC153" s="38">
        <f>AW153+AX153</f>
        <v>0</v>
      </c>
      <c r="BD153" s="38">
        <f>H153/(100-BE153)*100</f>
        <v>0</v>
      </c>
      <c r="BE153" s="38">
        <v>0</v>
      </c>
      <c r="BF153" s="38">
        <f>O153</f>
        <v>1.4999999999999999E-4</v>
      </c>
      <c r="BH153" s="38">
        <f>G153*AO153</f>
        <v>0</v>
      </c>
      <c r="BI153" s="38">
        <f>G153*AP153</f>
        <v>0</v>
      </c>
      <c r="BJ153" s="38">
        <f>G153*H153</f>
        <v>0</v>
      </c>
      <c r="BK153" s="38"/>
      <c r="BL153" s="38">
        <v>722</v>
      </c>
      <c r="BW153" s="38" t="str">
        <f>I153</f>
        <v>21</v>
      </c>
      <c r="BX153" s="5" t="s">
        <v>397</v>
      </c>
    </row>
    <row r="154" spans="1:76" x14ac:dyDescent="0.25">
      <c r="A154" s="2" t="s">
        <v>398</v>
      </c>
      <c r="B154" s="3" t="s">
        <v>51</v>
      </c>
      <c r="C154" s="3" t="s">
        <v>399</v>
      </c>
      <c r="D154" s="106" t="s">
        <v>400</v>
      </c>
      <c r="E154" s="107"/>
      <c r="F154" s="3" t="s">
        <v>108</v>
      </c>
      <c r="G154" s="38">
        <v>10</v>
      </c>
      <c r="H154" s="98"/>
      <c r="I154" s="39" t="s">
        <v>59</v>
      </c>
      <c r="J154" s="38">
        <f>G154*AO154</f>
        <v>0</v>
      </c>
      <c r="K154" s="38">
        <f>G154*AP154</f>
        <v>0</v>
      </c>
      <c r="L154" s="38">
        <f>G154*H154</f>
        <v>0</v>
      </c>
      <c r="M154" s="38">
        <f>L154*(1+BW154/100)</f>
        <v>0</v>
      </c>
      <c r="N154" s="38">
        <v>5.1799999999999997E-3</v>
      </c>
      <c r="O154" s="38">
        <f>G154*N154</f>
        <v>5.1799999999999999E-2</v>
      </c>
      <c r="P154" s="40" t="s">
        <v>60</v>
      </c>
      <c r="Z154" s="38">
        <f>IF(AQ154="5",BJ154,0)</f>
        <v>0</v>
      </c>
      <c r="AB154" s="38">
        <f>IF(AQ154="1",BH154,0)</f>
        <v>0</v>
      </c>
      <c r="AC154" s="38">
        <f>IF(AQ154="1",BI154,0)</f>
        <v>0</v>
      </c>
      <c r="AD154" s="38">
        <f>IF(AQ154="7",BH154,0)</f>
        <v>0</v>
      </c>
      <c r="AE154" s="38">
        <f>IF(AQ154="7",BI154,0)</f>
        <v>0</v>
      </c>
      <c r="AF154" s="38">
        <f>IF(AQ154="2",BH154,0)</f>
        <v>0</v>
      </c>
      <c r="AG154" s="38">
        <f>IF(AQ154="2",BI154,0)</f>
        <v>0</v>
      </c>
      <c r="AH154" s="38">
        <f>IF(AQ154="0",BJ154,0)</f>
        <v>0</v>
      </c>
      <c r="AI154" s="13" t="s">
        <v>51</v>
      </c>
      <c r="AJ154" s="38">
        <f>IF(AN154=0,L154,0)</f>
        <v>0</v>
      </c>
      <c r="AK154" s="38">
        <f>IF(AN154=12,L154,0)</f>
        <v>0</v>
      </c>
      <c r="AL154" s="38">
        <f>IF(AN154=21,L154,0)</f>
        <v>0</v>
      </c>
      <c r="AN154" s="38">
        <v>21</v>
      </c>
      <c r="AO154" s="38">
        <f>H154*0.255282651</f>
        <v>0</v>
      </c>
      <c r="AP154" s="38">
        <f>H154*(1-0.255282651)</f>
        <v>0</v>
      </c>
      <c r="AQ154" s="39" t="s">
        <v>87</v>
      </c>
      <c r="AV154" s="38">
        <f>AW154+AX154</f>
        <v>0</v>
      </c>
      <c r="AW154" s="38">
        <f>G154*AO154</f>
        <v>0</v>
      </c>
      <c r="AX154" s="38">
        <f>G154*AP154</f>
        <v>0</v>
      </c>
      <c r="AY154" s="39" t="s">
        <v>394</v>
      </c>
      <c r="AZ154" s="39" t="s">
        <v>342</v>
      </c>
      <c r="BA154" s="13" t="s">
        <v>63</v>
      </c>
      <c r="BC154" s="38">
        <f>AW154+AX154</f>
        <v>0</v>
      </c>
      <c r="BD154" s="38">
        <f>H154/(100-BE154)*100</f>
        <v>0</v>
      </c>
      <c r="BE154" s="38">
        <v>0</v>
      </c>
      <c r="BF154" s="38">
        <f>O154</f>
        <v>5.1799999999999999E-2</v>
      </c>
      <c r="BH154" s="38">
        <f>G154*AO154</f>
        <v>0</v>
      </c>
      <c r="BI154" s="38">
        <f>G154*AP154</f>
        <v>0</v>
      </c>
      <c r="BJ154" s="38">
        <f>G154*H154</f>
        <v>0</v>
      </c>
      <c r="BK154" s="38"/>
      <c r="BL154" s="38">
        <v>722</v>
      </c>
      <c r="BW154" s="38" t="str">
        <f>I154</f>
        <v>21</v>
      </c>
      <c r="BX154" s="5" t="s">
        <v>400</v>
      </c>
    </row>
    <row r="155" spans="1:76" x14ac:dyDescent="0.25">
      <c r="A155" s="2" t="s">
        <v>71</v>
      </c>
      <c r="B155" s="3" t="s">
        <v>51</v>
      </c>
      <c r="C155" s="3" t="s">
        <v>401</v>
      </c>
      <c r="D155" s="106" t="s">
        <v>402</v>
      </c>
      <c r="E155" s="107"/>
      <c r="F155" s="3" t="s">
        <v>108</v>
      </c>
      <c r="G155" s="38">
        <v>31.4</v>
      </c>
      <c r="H155" s="98"/>
      <c r="I155" s="39" t="s">
        <v>59</v>
      </c>
      <c r="J155" s="38">
        <f>G155*AO155</f>
        <v>0</v>
      </c>
      <c r="K155" s="38">
        <f>G155*AP155</f>
        <v>0</v>
      </c>
      <c r="L155" s="38">
        <f>G155*H155</f>
        <v>0</v>
      </c>
      <c r="M155" s="38">
        <f>L155*(1+BW155/100)</f>
        <v>0</v>
      </c>
      <c r="N155" s="38">
        <v>3.9899999999999996E-3</v>
      </c>
      <c r="O155" s="38">
        <f>G155*N155</f>
        <v>0.12528599999999998</v>
      </c>
      <c r="P155" s="40" t="s">
        <v>60</v>
      </c>
      <c r="Z155" s="38">
        <f>IF(AQ155="5",BJ155,0)</f>
        <v>0</v>
      </c>
      <c r="AB155" s="38">
        <f>IF(AQ155="1",BH155,0)</f>
        <v>0</v>
      </c>
      <c r="AC155" s="38">
        <f>IF(AQ155="1",BI155,0)</f>
        <v>0</v>
      </c>
      <c r="AD155" s="38">
        <f>IF(AQ155="7",BH155,0)</f>
        <v>0</v>
      </c>
      <c r="AE155" s="38">
        <f>IF(AQ155="7",BI155,0)</f>
        <v>0</v>
      </c>
      <c r="AF155" s="38">
        <f>IF(AQ155="2",BH155,0)</f>
        <v>0</v>
      </c>
      <c r="AG155" s="38">
        <f>IF(AQ155="2",BI155,0)</f>
        <v>0</v>
      </c>
      <c r="AH155" s="38">
        <f>IF(AQ155="0",BJ155,0)</f>
        <v>0</v>
      </c>
      <c r="AI155" s="13" t="s">
        <v>51</v>
      </c>
      <c r="AJ155" s="38">
        <f>IF(AN155=0,L155,0)</f>
        <v>0</v>
      </c>
      <c r="AK155" s="38">
        <f>IF(AN155=12,L155,0)</f>
        <v>0</v>
      </c>
      <c r="AL155" s="38">
        <f>IF(AN155=21,L155,0)</f>
        <v>0</v>
      </c>
      <c r="AN155" s="38">
        <v>21</v>
      </c>
      <c r="AO155" s="38">
        <f>H155*0.226912114</f>
        <v>0</v>
      </c>
      <c r="AP155" s="38">
        <f>H155*(1-0.226912114)</f>
        <v>0</v>
      </c>
      <c r="AQ155" s="39" t="s">
        <v>87</v>
      </c>
      <c r="AV155" s="38">
        <f>AW155+AX155</f>
        <v>0</v>
      </c>
      <c r="AW155" s="38">
        <f>G155*AO155</f>
        <v>0</v>
      </c>
      <c r="AX155" s="38">
        <f>G155*AP155</f>
        <v>0</v>
      </c>
      <c r="AY155" s="39" t="s">
        <v>394</v>
      </c>
      <c r="AZ155" s="39" t="s">
        <v>342</v>
      </c>
      <c r="BA155" s="13" t="s">
        <v>63</v>
      </c>
      <c r="BC155" s="38">
        <f>AW155+AX155</f>
        <v>0</v>
      </c>
      <c r="BD155" s="38">
        <f>H155/(100-BE155)*100</f>
        <v>0</v>
      </c>
      <c r="BE155" s="38">
        <v>0</v>
      </c>
      <c r="BF155" s="38">
        <f>O155</f>
        <v>0.12528599999999998</v>
      </c>
      <c r="BH155" s="38">
        <f>G155*AO155</f>
        <v>0</v>
      </c>
      <c r="BI155" s="38">
        <f>G155*AP155</f>
        <v>0</v>
      </c>
      <c r="BJ155" s="38">
        <f>G155*H155</f>
        <v>0</v>
      </c>
      <c r="BK155" s="38"/>
      <c r="BL155" s="38">
        <v>722</v>
      </c>
      <c r="BW155" s="38" t="str">
        <f>I155</f>
        <v>21</v>
      </c>
      <c r="BX155" s="5" t="s">
        <v>402</v>
      </c>
    </row>
    <row r="156" spans="1:76" x14ac:dyDescent="0.25">
      <c r="A156" s="2" t="s">
        <v>403</v>
      </c>
      <c r="B156" s="3" t="s">
        <v>51</v>
      </c>
      <c r="C156" s="3" t="s">
        <v>404</v>
      </c>
      <c r="D156" s="106" t="s">
        <v>405</v>
      </c>
      <c r="E156" s="107"/>
      <c r="F156" s="3" t="s">
        <v>108</v>
      </c>
      <c r="G156" s="38">
        <v>41</v>
      </c>
      <c r="H156" s="98"/>
      <c r="I156" s="39" t="s">
        <v>59</v>
      </c>
      <c r="J156" s="38">
        <f>G156*AO156</f>
        <v>0</v>
      </c>
      <c r="K156" s="38">
        <f>G156*AP156</f>
        <v>0</v>
      </c>
      <c r="L156" s="38">
        <f>G156*H156</f>
        <v>0</v>
      </c>
      <c r="M156" s="38">
        <f>L156*(1+BW156/100)</f>
        <v>0</v>
      </c>
      <c r="N156" s="38">
        <v>1.0000000000000001E-5</v>
      </c>
      <c r="O156" s="38">
        <f>G156*N156</f>
        <v>4.1000000000000005E-4</v>
      </c>
      <c r="P156" s="40" t="s">
        <v>60</v>
      </c>
      <c r="Z156" s="38">
        <f>IF(AQ156="5",BJ156,0)</f>
        <v>0</v>
      </c>
      <c r="AB156" s="38">
        <f>IF(AQ156="1",BH156,0)</f>
        <v>0</v>
      </c>
      <c r="AC156" s="38">
        <f>IF(AQ156="1",BI156,0)</f>
        <v>0</v>
      </c>
      <c r="AD156" s="38">
        <f>IF(AQ156="7",BH156,0)</f>
        <v>0</v>
      </c>
      <c r="AE156" s="38">
        <f>IF(AQ156="7",BI156,0)</f>
        <v>0</v>
      </c>
      <c r="AF156" s="38">
        <f>IF(AQ156="2",BH156,0)</f>
        <v>0</v>
      </c>
      <c r="AG156" s="38">
        <f>IF(AQ156="2",BI156,0)</f>
        <v>0</v>
      </c>
      <c r="AH156" s="38">
        <f>IF(AQ156="0",BJ156,0)</f>
        <v>0</v>
      </c>
      <c r="AI156" s="13" t="s">
        <v>51</v>
      </c>
      <c r="AJ156" s="38">
        <f>IF(AN156=0,L156,0)</f>
        <v>0</v>
      </c>
      <c r="AK156" s="38">
        <f>IF(AN156=12,L156,0)</f>
        <v>0</v>
      </c>
      <c r="AL156" s="38">
        <f>IF(AN156=21,L156,0)</f>
        <v>0</v>
      </c>
      <c r="AN156" s="38">
        <v>21</v>
      </c>
      <c r="AO156" s="38">
        <f>H156*0.155978086</f>
        <v>0</v>
      </c>
      <c r="AP156" s="38">
        <f>H156*(1-0.155978086)</f>
        <v>0</v>
      </c>
      <c r="AQ156" s="39" t="s">
        <v>87</v>
      </c>
      <c r="AV156" s="38">
        <f>AW156+AX156</f>
        <v>0</v>
      </c>
      <c r="AW156" s="38">
        <f>G156*AO156</f>
        <v>0</v>
      </c>
      <c r="AX156" s="38">
        <f>G156*AP156</f>
        <v>0</v>
      </c>
      <c r="AY156" s="39" t="s">
        <v>394</v>
      </c>
      <c r="AZ156" s="39" t="s">
        <v>342</v>
      </c>
      <c r="BA156" s="13" t="s">
        <v>63</v>
      </c>
      <c r="BC156" s="38">
        <f>AW156+AX156</f>
        <v>0</v>
      </c>
      <c r="BD156" s="38">
        <f>H156/(100-BE156)*100</f>
        <v>0</v>
      </c>
      <c r="BE156" s="38">
        <v>0</v>
      </c>
      <c r="BF156" s="38">
        <f>O156</f>
        <v>4.1000000000000005E-4</v>
      </c>
      <c r="BH156" s="38">
        <f>G156*AO156</f>
        <v>0</v>
      </c>
      <c r="BI156" s="38">
        <f>G156*AP156</f>
        <v>0</v>
      </c>
      <c r="BJ156" s="38">
        <f>G156*H156</f>
        <v>0</v>
      </c>
      <c r="BK156" s="38"/>
      <c r="BL156" s="38">
        <v>722</v>
      </c>
      <c r="BW156" s="38" t="str">
        <f>I156</f>
        <v>21</v>
      </c>
      <c r="BX156" s="5" t="s">
        <v>405</v>
      </c>
    </row>
    <row r="157" spans="1:76" ht="13.5" customHeight="1" x14ac:dyDescent="0.25">
      <c r="A157" s="41"/>
      <c r="C157" s="42" t="s">
        <v>97</v>
      </c>
      <c r="D157" s="178" t="s">
        <v>406</v>
      </c>
      <c r="E157" s="179"/>
      <c r="F157" s="179"/>
      <c r="G157" s="179"/>
      <c r="H157" s="179"/>
      <c r="I157" s="179"/>
      <c r="J157" s="179"/>
      <c r="K157" s="179"/>
      <c r="L157" s="179"/>
      <c r="M157" s="179"/>
      <c r="N157" s="179"/>
      <c r="O157" s="179"/>
      <c r="P157" s="180"/>
    </row>
    <row r="158" spans="1:76" x14ac:dyDescent="0.25">
      <c r="A158" s="2" t="s">
        <v>407</v>
      </c>
      <c r="B158" s="3" t="s">
        <v>51</v>
      </c>
      <c r="C158" s="3" t="s">
        <v>408</v>
      </c>
      <c r="D158" s="106" t="s">
        <v>409</v>
      </c>
      <c r="E158" s="107"/>
      <c r="F158" s="3" t="s">
        <v>140</v>
      </c>
      <c r="G158" s="38">
        <v>30</v>
      </c>
      <c r="H158" s="98"/>
      <c r="I158" s="39" t="s">
        <v>59</v>
      </c>
      <c r="J158" s="38">
        <f t="shared" ref="J158:J164" si="54">G158*AO158</f>
        <v>0</v>
      </c>
      <c r="K158" s="38">
        <f t="shared" ref="K158:K164" si="55">G158*AP158</f>
        <v>0</v>
      </c>
      <c r="L158" s="38">
        <f t="shared" ref="L158:L164" si="56">G158*H158</f>
        <v>0</v>
      </c>
      <c r="M158" s="38">
        <f t="shared" ref="M158:M164" si="57">L158*(1+BW158/100)</f>
        <v>0</v>
      </c>
      <c r="N158" s="38">
        <v>8.4999999999999995E-4</v>
      </c>
      <c r="O158" s="38">
        <f t="shared" ref="O158:O164" si="58">G158*N158</f>
        <v>2.5499999999999998E-2</v>
      </c>
      <c r="P158" s="40" t="s">
        <v>60</v>
      </c>
      <c r="Z158" s="38">
        <f t="shared" ref="Z158:Z164" si="59">IF(AQ158="5",BJ158,0)</f>
        <v>0</v>
      </c>
      <c r="AB158" s="38">
        <f t="shared" ref="AB158:AB164" si="60">IF(AQ158="1",BH158,0)</f>
        <v>0</v>
      </c>
      <c r="AC158" s="38">
        <f t="shared" ref="AC158:AC164" si="61">IF(AQ158="1",BI158,0)</f>
        <v>0</v>
      </c>
      <c r="AD158" s="38">
        <f t="shared" ref="AD158:AD164" si="62">IF(AQ158="7",BH158,0)</f>
        <v>0</v>
      </c>
      <c r="AE158" s="38">
        <f t="shared" ref="AE158:AE164" si="63">IF(AQ158="7",BI158,0)</f>
        <v>0</v>
      </c>
      <c r="AF158" s="38">
        <f t="shared" ref="AF158:AF164" si="64">IF(AQ158="2",BH158,0)</f>
        <v>0</v>
      </c>
      <c r="AG158" s="38">
        <f t="shared" ref="AG158:AG164" si="65">IF(AQ158="2",BI158,0)</f>
        <v>0</v>
      </c>
      <c r="AH158" s="38">
        <f t="shared" ref="AH158:AH164" si="66">IF(AQ158="0",BJ158,0)</f>
        <v>0</v>
      </c>
      <c r="AI158" s="13" t="s">
        <v>51</v>
      </c>
      <c r="AJ158" s="38">
        <f t="shared" ref="AJ158:AJ164" si="67">IF(AN158=0,L158,0)</f>
        <v>0</v>
      </c>
      <c r="AK158" s="38">
        <f t="shared" ref="AK158:AK164" si="68">IF(AN158=12,L158,0)</f>
        <v>0</v>
      </c>
      <c r="AL158" s="38">
        <f t="shared" ref="AL158:AL164" si="69">IF(AN158=21,L158,0)</f>
        <v>0</v>
      </c>
      <c r="AN158" s="38">
        <v>21</v>
      </c>
      <c r="AO158" s="38">
        <f>H158*0.665363409</f>
        <v>0</v>
      </c>
      <c r="AP158" s="38">
        <f>H158*(1-0.665363409)</f>
        <v>0</v>
      </c>
      <c r="AQ158" s="39" t="s">
        <v>87</v>
      </c>
      <c r="AV158" s="38">
        <f t="shared" ref="AV158:AV164" si="70">AW158+AX158</f>
        <v>0</v>
      </c>
      <c r="AW158" s="38">
        <f t="shared" ref="AW158:AW164" si="71">G158*AO158</f>
        <v>0</v>
      </c>
      <c r="AX158" s="38">
        <f t="shared" ref="AX158:AX164" si="72">G158*AP158</f>
        <v>0</v>
      </c>
      <c r="AY158" s="39" t="s">
        <v>394</v>
      </c>
      <c r="AZ158" s="39" t="s">
        <v>342</v>
      </c>
      <c r="BA158" s="13" t="s">
        <v>63</v>
      </c>
      <c r="BC158" s="38">
        <f t="shared" ref="BC158:BC164" si="73">AW158+AX158</f>
        <v>0</v>
      </c>
      <c r="BD158" s="38">
        <f t="shared" ref="BD158:BD164" si="74">H158/(100-BE158)*100</f>
        <v>0</v>
      </c>
      <c r="BE158" s="38">
        <v>0</v>
      </c>
      <c r="BF158" s="38">
        <f t="shared" ref="BF158:BF164" si="75">O158</f>
        <v>2.5499999999999998E-2</v>
      </c>
      <c r="BH158" s="38">
        <f t="shared" ref="BH158:BH164" si="76">G158*AO158</f>
        <v>0</v>
      </c>
      <c r="BI158" s="38">
        <f t="shared" ref="BI158:BI164" si="77">G158*AP158</f>
        <v>0</v>
      </c>
      <c r="BJ158" s="38">
        <f t="shared" ref="BJ158:BJ164" si="78">G158*H158</f>
        <v>0</v>
      </c>
      <c r="BK158" s="38"/>
      <c r="BL158" s="38">
        <v>722</v>
      </c>
      <c r="BW158" s="38" t="str">
        <f t="shared" ref="BW158:BW164" si="79">I158</f>
        <v>21</v>
      </c>
      <c r="BX158" s="5" t="s">
        <v>409</v>
      </c>
    </row>
    <row r="159" spans="1:76" x14ac:dyDescent="0.25">
      <c r="A159" s="2" t="s">
        <v>410</v>
      </c>
      <c r="B159" s="3" t="s">
        <v>51</v>
      </c>
      <c r="C159" s="3" t="s">
        <v>411</v>
      </c>
      <c r="D159" s="106" t="s">
        <v>412</v>
      </c>
      <c r="E159" s="107"/>
      <c r="F159" s="3" t="s">
        <v>108</v>
      </c>
      <c r="G159" s="38">
        <v>41.4</v>
      </c>
      <c r="H159" s="98"/>
      <c r="I159" s="39" t="s">
        <v>59</v>
      </c>
      <c r="J159" s="38">
        <f t="shared" si="54"/>
        <v>0</v>
      </c>
      <c r="K159" s="38">
        <f t="shared" si="55"/>
        <v>0</v>
      </c>
      <c r="L159" s="38">
        <f t="shared" si="56"/>
        <v>0</v>
      </c>
      <c r="M159" s="38">
        <f t="shared" si="57"/>
        <v>0</v>
      </c>
      <c r="N159" s="38">
        <v>0</v>
      </c>
      <c r="O159" s="38">
        <f t="shared" si="58"/>
        <v>0</v>
      </c>
      <c r="P159" s="40" t="s">
        <v>67</v>
      </c>
      <c r="Z159" s="38">
        <f t="shared" si="59"/>
        <v>0</v>
      </c>
      <c r="AB159" s="38">
        <f t="shared" si="60"/>
        <v>0</v>
      </c>
      <c r="AC159" s="38">
        <f t="shared" si="61"/>
        <v>0</v>
      </c>
      <c r="AD159" s="38">
        <f t="shared" si="62"/>
        <v>0</v>
      </c>
      <c r="AE159" s="38">
        <f t="shared" si="63"/>
        <v>0</v>
      </c>
      <c r="AF159" s="38">
        <f t="shared" si="64"/>
        <v>0</v>
      </c>
      <c r="AG159" s="38">
        <f t="shared" si="65"/>
        <v>0</v>
      </c>
      <c r="AH159" s="38">
        <f t="shared" si="66"/>
        <v>0</v>
      </c>
      <c r="AI159" s="13" t="s">
        <v>51</v>
      </c>
      <c r="AJ159" s="38">
        <f t="shared" si="67"/>
        <v>0</v>
      </c>
      <c r="AK159" s="38">
        <f t="shared" si="68"/>
        <v>0</v>
      </c>
      <c r="AL159" s="38">
        <f t="shared" si="69"/>
        <v>0</v>
      </c>
      <c r="AN159" s="38">
        <v>21</v>
      </c>
      <c r="AO159" s="38">
        <f>H159*0.0152</f>
        <v>0</v>
      </c>
      <c r="AP159" s="38">
        <f>H159*(1-0.0152)</f>
        <v>0</v>
      </c>
      <c r="AQ159" s="39" t="s">
        <v>87</v>
      </c>
      <c r="AV159" s="38">
        <f t="shared" si="70"/>
        <v>0</v>
      </c>
      <c r="AW159" s="38">
        <f t="shared" si="71"/>
        <v>0</v>
      </c>
      <c r="AX159" s="38">
        <f t="shared" si="72"/>
        <v>0</v>
      </c>
      <c r="AY159" s="39" t="s">
        <v>394</v>
      </c>
      <c r="AZ159" s="39" t="s">
        <v>342</v>
      </c>
      <c r="BA159" s="13" t="s">
        <v>63</v>
      </c>
      <c r="BC159" s="38">
        <f t="shared" si="73"/>
        <v>0</v>
      </c>
      <c r="BD159" s="38">
        <f t="shared" si="74"/>
        <v>0</v>
      </c>
      <c r="BE159" s="38">
        <v>0</v>
      </c>
      <c r="BF159" s="38">
        <f t="shared" si="75"/>
        <v>0</v>
      </c>
      <c r="BH159" s="38">
        <f t="shared" si="76"/>
        <v>0</v>
      </c>
      <c r="BI159" s="38">
        <f t="shared" si="77"/>
        <v>0</v>
      </c>
      <c r="BJ159" s="38">
        <f t="shared" si="78"/>
        <v>0</v>
      </c>
      <c r="BK159" s="38"/>
      <c r="BL159" s="38">
        <v>722</v>
      </c>
      <c r="BW159" s="38" t="str">
        <f t="shared" si="79"/>
        <v>21</v>
      </c>
      <c r="BX159" s="5" t="s">
        <v>412</v>
      </c>
    </row>
    <row r="160" spans="1:76" x14ac:dyDescent="0.25">
      <c r="A160" s="2" t="s">
        <v>413</v>
      </c>
      <c r="B160" s="3" t="s">
        <v>51</v>
      </c>
      <c r="C160" s="3" t="s">
        <v>414</v>
      </c>
      <c r="D160" s="106" t="s">
        <v>415</v>
      </c>
      <c r="E160" s="107"/>
      <c r="F160" s="3" t="s">
        <v>108</v>
      </c>
      <c r="G160" s="38">
        <v>41.4</v>
      </c>
      <c r="H160" s="98"/>
      <c r="I160" s="39" t="s">
        <v>59</v>
      </c>
      <c r="J160" s="38">
        <f t="shared" si="54"/>
        <v>0</v>
      </c>
      <c r="K160" s="38">
        <f t="shared" si="55"/>
        <v>0</v>
      </c>
      <c r="L160" s="38">
        <f t="shared" si="56"/>
        <v>0</v>
      </c>
      <c r="M160" s="38">
        <f t="shared" si="57"/>
        <v>0</v>
      </c>
      <c r="N160" s="38">
        <v>1.0000000000000001E-5</v>
      </c>
      <c r="O160" s="38">
        <f t="shared" si="58"/>
        <v>4.1400000000000003E-4</v>
      </c>
      <c r="P160" s="40" t="s">
        <v>60</v>
      </c>
      <c r="Z160" s="38">
        <f t="shared" si="59"/>
        <v>0</v>
      </c>
      <c r="AB160" s="38">
        <f t="shared" si="60"/>
        <v>0</v>
      </c>
      <c r="AC160" s="38">
        <f t="shared" si="61"/>
        <v>0</v>
      </c>
      <c r="AD160" s="38">
        <f t="shared" si="62"/>
        <v>0</v>
      </c>
      <c r="AE160" s="38">
        <f t="shared" si="63"/>
        <v>0</v>
      </c>
      <c r="AF160" s="38">
        <f t="shared" si="64"/>
        <v>0</v>
      </c>
      <c r="AG160" s="38">
        <f t="shared" si="65"/>
        <v>0</v>
      </c>
      <c r="AH160" s="38">
        <f t="shared" si="66"/>
        <v>0</v>
      </c>
      <c r="AI160" s="13" t="s">
        <v>51</v>
      </c>
      <c r="AJ160" s="38">
        <f t="shared" si="67"/>
        <v>0</v>
      </c>
      <c r="AK160" s="38">
        <f t="shared" si="68"/>
        <v>0</v>
      </c>
      <c r="AL160" s="38">
        <f t="shared" si="69"/>
        <v>0</v>
      </c>
      <c r="AN160" s="38">
        <v>21</v>
      </c>
      <c r="AO160" s="38">
        <f>H160*0.051682692</f>
        <v>0</v>
      </c>
      <c r="AP160" s="38">
        <f>H160*(1-0.051682692)</f>
        <v>0</v>
      </c>
      <c r="AQ160" s="39" t="s">
        <v>87</v>
      </c>
      <c r="AV160" s="38">
        <f t="shared" si="70"/>
        <v>0</v>
      </c>
      <c r="AW160" s="38">
        <f t="shared" si="71"/>
        <v>0</v>
      </c>
      <c r="AX160" s="38">
        <f t="shared" si="72"/>
        <v>0</v>
      </c>
      <c r="AY160" s="39" t="s">
        <v>394</v>
      </c>
      <c r="AZ160" s="39" t="s">
        <v>342</v>
      </c>
      <c r="BA160" s="13" t="s">
        <v>63</v>
      </c>
      <c r="BC160" s="38">
        <f t="shared" si="73"/>
        <v>0</v>
      </c>
      <c r="BD160" s="38">
        <f t="shared" si="74"/>
        <v>0</v>
      </c>
      <c r="BE160" s="38">
        <v>0</v>
      </c>
      <c r="BF160" s="38">
        <f t="shared" si="75"/>
        <v>4.1400000000000003E-4</v>
      </c>
      <c r="BH160" s="38">
        <f t="shared" si="76"/>
        <v>0</v>
      </c>
      <c r="BI160" s="38">
        <f t="shared" si="77"/>
        <v>0</v>
      </c>
      <c r="BJ160" s="38">
        <f t="shared" si="78"/>
        <v>0</v>
      </c>
      <c r="BK160" s="38"/>
      <c r="BL160" s="38">
        <v>722</v>
      </c>
      <c r="BW160" s="38" t="str">
        <f t="shared" si="79"/>
        <v>21</v>
      </c>
      <c r="BX160" s="5" t="s">
        <v>415</v>
      </c>
    </row>
    <row r="161" spans="1:76" x14ac:dyDescent="0.25">
      <c r="A161" s="2" t="s">
        <v>416</v>
      </c>
      <c r="B161" s="3" t="s">
        <v>51</v>
      </c>
      <c r="C161" s="3" t="s">
        <v>417</v>
      </c>
      <c r="D161" s="106" t="s">
        <v>418</v>
      </c>
      <c r="E161" s="107"/>
      <c r="F161" s="3" t="s">
        <v>58</v>
      </c>
      <c r="G161" s="38">
        <v>10</v>
      </c>
      <c r="H161" s="98"/>
      <c r="I161" s="39" t="s">
        <v>59</v>
      </c>
      <c r="J161" s="38">
        <f t="shared" si="54"/>
        <v>0</v>
      </c>
      <c r="K161" s="38">
        <f t="shared" si="55"/>
        <v>0</v>
      </c>
      <c r="L161" s="38">
        <f t="shared" si="56"/>
        <v>0</v>
      </c>
      <c r="M161" s="38">
        <f t="shared" si="57"/>
        <v>0</v>
      </c>
      <c r="N161" s="38">
        <v>1E-4</v>
      </c>
      <c r="O161" s="38">
        <f t="shared" si="58"/>
        <v>1E-3</v>
      </c>
      <c r="P161" s="40" t="s">
        <v>60</v>
      </c>
      <c r="Z161" s="38">
        <f t="shared" si="59"/>
        <v>0</v>
      </c>
      <c r="AB161" s="38">
        <f t="shared" si="60"/>
        <v>0</v>
      </c>
      <c r="AC161" s="38">
        <f t="shared" si="61"/>
        <v>0</v>
      </c>
      <c r="AD161" s="38">
        <f t="shared" si="62"/>
        <v>0</v>
      </c>
      <c r="AE161" s="38">
        <f t="shared" si="63"/>
        <v>0</v>
      </c>
      <c r="AF161" s="38">
        <f t="shared" si="64"/>
        <v>0</v>
      </c>
      <c r="AG161" s="38">
        <f t="shared" si="65"/>
        <v>0</v>
      </c>
      <c r="AH161" s="38">
        <f t="shared" si="66"/>
        <v>0</v>
      </c>
      <c r="AI161" s="13" t="s">
        <v>51</v>
      </c>
      <c r="AJ161" s="38">
        <f t="shared" si="67"/>
        <v>0</v>
      </c>
      <c r="AK161" s="38">
        <f t="shared" si="68"/>
        <v>0</v>
      </c>
      <c r="AL161" s="38">
        <f t="shared" si="69"/>
        <v>0</v>
      </c>
      <c r="AN161" s="38">
        <v>21</v>
      </c>
      <c r="AO161" s="38">
        <f>H161*0.563829787</f>
        <v>0</v>
      </c>
      <c r="AP161" s="38">
        <f>H161*(1-0.563829787)</f>
        <v>0</v>
      </c>
      <c r="AQ161" s="39" t="s">
        <v>87</v>
      </c>
      <c r="AV161" s="38">
        <f t="shared" si="70"/>
        <v>0</v>
      </c>
      <c r="AW161" s="38">
        <f t="shared" si="71"/>
        <v>0</v>
      </c>
      <c r="AX161" s="38">
        <f t="shared" si="72"/>
        <v>0</v>
      </c>
      <c r="AY161" s="39" t="s">
        <v>394</v>
      </c>
      <c r="AZ161" s="39" t="s">
        <v>342</v>
      </c>
      <c r="BA161" s="13" t="s">
        <v>63</v>
      </c>
      <c r="BC161" s="38">
        <f t="shared" si="73"/>
        <v>0</v>
      </c>
      <c r="BD161" s="38">
        <f t="shared" si="74"/>
        <v>0</v>
      </c>
      <c r="BE161" s="38">
        <v>0</v>
      </c>
      <c r="BF161" s="38">
        <f t="shared" si="75"/>
        <v>1E-3</v>
      </c>
      <c r="BH161" s="38">
        <f t="shared" si="76"/>
        <v>0</v>
      </c>
      <c r="BI161" s="38">
        <f t="shared" si="77"/>
        <v>0</v>
      </c>
      <c r="BJ161" s="38">
        <f t="shared" si="78"/>
        <v>0</v>
      </c>
      <c r="BK161" s="38"/>
      <c r="BL161" s="38">
        <v>722</v>
      </c>
      <c r="BW161" s="38" t="str">
        <f t="shared" si="79"/>
        <v>21</v>
      </c>
      <c r="BX161" s="5" t="s">
        <v>418</v>
      </c>
    </row>
    <row r="162" spans="1:76" x14ac:dyDescent="0.25">
      <c r="A162" s="2" t="s">
        <v>419</v>
      </c>
      <c r="B162" s="3" t="s">
        <v>51</v>
      </c>
      <c r="C162" s="3" t="s">
        <v>420</v>
      </c>
      <c r="D162" s="106" t="s">
        <v>421</v>
      </c>
      <c r="E162" s="107"/>
      <c r="F162" s="3" t="s">
        <v>58</v>
      </c>
      <c r="G162" s="38">
        <v>31</v>
      </c>
      <c r="H162" s="98"/>
      <c r="I162" s="39" t="s">
        <v>59</v>
      </c>
      <c r="J162" s="38">
        <f t="shared" si="54"/>
        <v>0</v>
      </c>
      <c r="K162" s="38">
        <f t="shared" si="55"/>
        <v>0</v>
      </c>
      <c r="L162" s="38">
        <f t="shared" si="56"/>
        <v>0</v>
      </c>
      <c r="M162" s="38">
        <f t="shared" si="57"/>
        <v>0</v>
      </c>
      <c r="N162" s="38">
        <v>1.7000000000000001E-4</v>
      </c>
      <c r="O162" s="38">
        <f t="shared" si="58"/>
        <v>5.2700000000000004E-3</v>
      </c>
      <c r="P162" s="40" t="s">
        <v>60</v>
      </c>
      <c r="Z162" s="38">
        <f t="shared" si="59"/>
        <v>0</v>
      </c>
      <c r="AB162" s="38">
        <f t="shared" si="60"/>
        <v>0</v>
      </c>
      <c r="AC162" s="38">
        <f t="shared" si="61"/>
        <v>0</v>
      </c>
      <c r="AD162" s="38">
        <f t="shared" si="62"/>
        <v>0</v>
      </c>
      <c r="AE162" s="38">
        <f t="shared" si="63"/>
        <v>0</v>
      </c>
      <c r="AF162" s="38">
        <f t="shared" si="64"/>
        <v>0</v>
      </c>
      <c r="AG162" s="38">
        <f t="shared" si="65"/>
        <v>0</v>
      </c>
      <c r="AH162" s="38">
        <f t="shared" si="66"/>
        <v>0</v>
      </c>
      <c r="AI162" s="13" t="s">
        <v>51</v>
      </c>
      <c r="AJ162" s="38">
        <f t="shared" si="67"/>
        <v>0</v>
      </c>
      <c r="AK162" s="38">
        <f t="shared" si="68"/>
        <v>0</v>
      </c>
      <c r="AL162" s="38">
        <f t="shared" si="69"/>
        <v>0</v>
      </c>
      <c r="AN162" s="38">
        <v>21</v>
      </c>
      <c r="AO162" s="38">
        <f>H162*0.381235108</f>
        <v>0</v>
      </c>
      <c r="AP162" s="38">
        <f>H162*(1-0.381235108)</f>
        <v>0</v>
      </c>
      <c r="AQ162" s="39" t="s">
        <v>87</v>
      </c>
      <c r="AV162" s="38">
        <f t="shared" si="70"/>
        <v>0</v>
      </c>
      <c r="AW162" s="38">
        <f t="shared" si="71"/>
        <v>0</v>
      </c>
      <c r="AX162" s="38">
        <f t="shared" si="72"/>
        <v>0</v>
      </c>
      <c r="AY162" s="39" t="s">
        <v>394</v>
      </c>
      <c r="AZ162" s="39" t="s">
        <v>342</v>
      </c>
      <c r="BA162" s="13" t="s">
        <v>63</v>
      </c>
      <c r="BC162" s="38">
        <f t="shared" si="73"/>
        <v>0</v>
      </c>
      <c r="BD162" s="38">
        <f t="shared" si="74"/>
        <v>0</v>
      </c>
      <c r="BE162" s="38">
        <v>0</v>
      </c>
      <c r="BF162" s="38">
        <f t="shared" si="75"/>
        <v>5.2700000000000004E-3</v>
      </c>
      <c r="BH162" s="38">
        <f t="shared" si="76"/>
        <v>0</v>
      </c>
      <c r="BI162" s="38">
        <f t="shared" si="77"/>
        <v>0</v>
      </c>
      <c r="BJ162" s="38">
        <f t="shared" si="78"/>
        <v>0</v>
      </c>
      <c r="BK162" s="38"/>
      <c r="BL162" s="38">
        <v>722</v>
      </c>
      <c r="BW162" s="38" t="str">
        <f t="shared" si="79"/>
        <v>21</v>
      </c>
      <c r="BX162" s="5" t="s">
        <v>421</v>
      </c>
    </row>
    <row r="163" spans="1:76" x14ac:dyDescent="0.25">
      <c r="A163" s="2" t="s">
        <v>422</v>
      </c>
      <c r="B163" s="3" t="s">
        <v>51</v>
      </c>
      <c r="C163" s="3" t="s">
        <v>423</v>
      </c>
      <c r="D163" s="106" t="s">
        <v>424</v>
      </c>
      <c r="E163" s="107"/>
      <c r="F163" s="3" t="s">
        <v>108</v>
      </c>
      <c r="G163" s="38">
        <v>5</v>
      </c>
      <c r="H163" s="98"/>
      <c r="I163" s="39" t="s">
        <v>59</v>
      </c>
      <c r="J163" s="38">
        <f t="shared" si="54"/>
        <v>0</v>
      </c>
      <c r="K163" s="38">
        <f t="shared" si="55"/>
        <v>0</v>
      </c>
      <c r="L163" s="38">
        <f t="shared" si="56"/>
        <v>0</v>
      </c>
      <c r="M163" s="38">
        <f t="shared" si="57"/>
        <v>0</v>
      </c>
      <c r="N163" s="38">
        <v>2E-3</v>
      </c>
      <c r="O163" s="38">
        <f t="shared" si="58"/>
        <v>0.01</v>
      </c>
      <c r="P163" s="40" t="s">
        <v>60</v>
      </c>
      <c r="Z163" s="38">
        <f t="shared" si="59"/>
        <v>0</v>
      </c>
      <c r="AB163" s="38">
        <f t="shared" si="60"/>
        <v>0</v>
      </c>
      <c r="AC163" s="38">
        <f t="shared" si="61"/>
        <v>0</v>
      </c>
      <c r="AD163" s="38">
        <f t="shared" si="62"/>
        <v>0</v>
      </c>
      <c r="AE163" s="38">
        <f t="shared" si="63"/>
        <v>0</v>
      </c>
      <c r="AF163" s="38">
        <f t="shared" si="64"/>
        <v>0</v>
      </c>
      <c r="AG163" s="38">
        <f t="shared" si="65"/>
        <v>0</v>
      </c>
      <c r="AH163" s="38">
        <f t="shared" si="66"/>
        <v>0</v>
      </c>
      <c r="AI163" s="13" t="s">
        <v>51</v>
      </c>
      <c r="AJ163" s="38">
        <f t="shared" si="67"/>
        <v>0</v>
      </c>
      <c r="AK163" s="38">
        <f t="shared" si="68"/>
        <v>0</v>
      </c>
      <c r="AL163" s="38">
        <f t="shared" si="69"/>
        <v>0</v>
      </c>
      <c r="AN163" s="38">
        <v>21</v>
      </c>
      <c r="AO163" s="38">
        <f>H163*0</f>
        <v>0</v>
      </c>
      <c r="AP163" s="38">
        <f>H163*(1-0)</f>
        <v>0</v>
      </c>
      <c r="AQ163" s="39" t="s">
        <v>87</v>
      </c>
      <c r="AV163" s="38">
        <f t="shared" si="70"/>
        <v>0</v>
      </c>
      <c r="AW163" s="38">
        <f t="shared" si="71"/>
        <v>0</v>
      </c>
      <c r="AX163" s="38">
        <f t="shared" si="72"/>
        <v>0</v>
      </c>
      <c r="AY163" s="39" t="s">
        <v>394</v>
      </c>
      <c r="AZ163" s="39" t="s">
        <v>342</v>
      </c>
      <c r="BA163" s="13" t="s">
        <v>63</v>
      </c>
      <c r="BC163" s="38">
        <f t="shared" si="73"/>
        <v>0</v>
      </c>
      <c r="BD163" s="38">
        <f t="shared" si="74"/>
        <v>0</v>
      </c>
      <c r="BE163" s="38">
        <v>0</v>
      </c>
      <c r="BF163" s="38">
        <f t="shared" si="75"/>
        <v>0.01</v>
      </c>
      <c r="BH163" s="38">
        <f t="shared" si="76"/>
        <v>0</v>
      </c>
      <c r="BI163" s="38">
        <f t="shared" si="77"/>
        <v>0</v>
      </c>
      <c r="BJ163" s="38">
        <f t="shared" si="78"/>
        <v>0</v>
      </c>
      <c r="BK163" s="38"/>
      <c r="BL163" s="38">
        <v>722</v>
      </c>
      <c r="BW163" s="38" t="str">
        <f t="shared" si="79"/>
        <v>21</v>
      </c>
      <c r="BX163" s="5" t="s">
        <v>424</v>
      </c>
    </row>
    <row r="164" spans="1:76" x14ac:dyDescent="0.25">
      <c r="A164" s="2" t="s">
        <v>425</v>
      </c>
      <c r="B164" s="3" t="s">
        <v>51</v>
      </c>
      <c r="C164" s="3" t="s">
        <v>426</v>
      </c>
      <c r="D164" s="106" t="s">
        <v>358</v>
      </c>
      <c r="E164" s="107"/>
      <c r="F164" s="3" t="s">
        <v>140</v>
      </c>
      <c r="G164" s="38">
        <v>1</v>
      </c>
      <c r="H164" s="98"/>
      <c r="I164" s="39" t="s">
        <v>59</v>
      </c>
      <c r="J164" s="38">
        <f t="shared" si="54"/>
        <v>0</v>
      </c>
      <c r="K164" s="38">
        <f t="shared" si="55"/>
        <v>0</v>
      </c>
      <c r="L164" s="38">
        <f t="shared" si="56"/>
        <v>0</v>
      </c>
      <c r="M164" s="38">
        <f t="shared" si="57"/>
        <v>0</v>
      </c>
      <c r="N164" s="38">
        <v>6.2E-4</v>
      </c>
      <c r="O164" s="38">
        <f t="shared" si="58"/>
        <v>6.2E-4</v>
      </c>
      <c r="P164" s="40" t="s">
        <v>67</v>
      </c>
      <c r="Z164" s="38">
        <f t="shared" si="59"/>
        <v>0</v>
      </c>
      <c r="AB164" s="38">
        <f t="shared" si="60"/>
        <v>0</v>
      </c>
      <c r="AC164" s="38">
        <f t="shared" si="61"/>
        <v>0</v>
      </c>
      <c r="AD164" s="38">
        <f t="shared" si="62"/>
        <v>0</v>
      </c>
      <c r="AE164" s="38">
        <f t="shared" si="63"/>
        <v>0</v>
      </c>
      <c r="AF164" s="38">
        <f t="shared" si="64"/>
        <v>0</v>
      </c>
      <c r="AG164" s="38">
        <f t="shared" si="65"/>
        <v>0</v>
      </c>
      <c r="AH164" s="38">
        <f t="shared" si="66"/>
        <v>0</v>
      </c>
      <c r="AI164" s="13" t="s">
        <v>51</v>
      </c>
      <c r="AJ164" s="38">
        <f t="shared" si="67"/>
        <v>0</v>
      </c>
      <c r="AK164" s="38">
        <f t="shared" si="68"/>
        <v>0</v>
      </c>
      <c r="AL164" s="38">
        <f t="shared" si="69"/>
        <v>0</v>
      </c>
      <c r="AN164" s="38">
        <v>21</v>
      </c>
      <c r="AO164" s="38">
        <f>H164*0.318423333</f>
        <v>0</v>
      </c>
      <c r="AP164" s="38">
        <f>H164*(1-0.318423333)</f>
        <v>0</v>
      </c>
      <c r="AQ164" s="39" t="s">
        <v>87</v>
      </c>
      <c r="AV164" s="38">
        <f t="shared" si="70"/>
        <v>0</v>
      </c>
      <c r="AW164" s="38">
        <f t="shared" si="71"/>
        <v>0</v>
      </c>
      <c r="AX164" s="38">
        <f t="shared" si="72"/>
        <v>0</v>
      </c>
      <c r="AY164" s="39" t="s">
        <v>394</v>
      </c>
      <c r="AZ164" s="39" t="s">
        <v>342</v>
      </c>
      <c r="BA164" s="13" t="s">
        <v>63</v>
      </c>
      <c r="BC164" s="38">
        <f t="shared" si="73"/>
        <v>0</v>
      </c>
      <c r="BD164" s="38">
        <f t="shared" si="74"/>
        <v>0</v>
      </c>
      <c r="BE164" s="38">
        <v>0</v>
      </c>
      <c r="BF164" s="38">
        <f t="shared" si="75"/>
        <v>6.2E-4</v>
      </c>
      <c r="BH164" s="38">
        <f t="shared" si="76"/>
        <v>0</v>
      </c>
      <c r="BI164" s="38">
        <f t="shared" si="77"/>
        <v>0</v>
      </c>
      <c r="BJ164" s="38">
        <f t="shared" si="78"/>
        <v>0</v>
      </c>
      <c r="BK164" s="38"/>
      <c r="BL164" s="38">
        <v>722</v>
      </c>
      <c r="BW164" s="38" t="str">
        <f t="shared" si="79"/>
        <v>21</v>
      </c>
      <c r="BX164" s="5" t="s">
        <v>358</v>
      </c>
    </row>
    <row r="165" spans="1:76" ht="13.5" customHeight="1" x14ac:dyDescent="0.25">
      <c r="A165" s="41"/>
      <c r="C165" s="42" t="s">
        <v>97</v>
      </c>
      <c r="D165" s="178" t="s">
        <v>359</v>
      </c>
      <c r="E165" s="179"/>
      <c r="F165" s="179"/>
      <c r="G165" s="179"/>
      <c r="H165" s="179"/>
      <c r="I165" s="179"/>
      <c r="J165" s="179"/>
      <c r="K165" s="179"/>
      <c r="L165" s="179"/>
      <c r="M165" s="179"/>
      <c r="N165" s="179"/>
      <c r="O165" s="179"/>
      <c r="P165" s="180"/>
    </row>
    <row r="166" spans="1:76" x14ac:dyDescent="0.25">
      <c r="A166" s="2" t="s">
        <v>427</v>
      </c>
      <c r="B166" s="3" t="s">
        <v>51</v>
      </c>
      <c r="C166" s="3" t="s">
        <v>428</v>
      </c>
      <c r="D166" s="106" t="s">
        <v>429</v>
      </c>
      <c r="E166" s="107"/>
      <c r="F166" s="3" t="s">
        <v>166</v>
      </c>
      <c r="G166" s="38">
        <v>0.22067000000000001</v>
      </c>
      <c r="H166" s="98"/>
      <c r="I166" s="39" t="s">
        <v>59</v>
      </c>
      <c r="J166" s="38">
        <f>G166*AO166</f>
        <v>0</v>
      </c>
      <c r="K166" s="38">
        <f>G166*AP166</f>
        <v>0</v>
      </c>
      <c r="L166" s="38">
        <f>G166*H166</f>
        <v>0</v>
      </c>
      <c r="M166" s="38">
        <f>L166*(1+BW166/100)</f>
        <v>0</v>
      </c>
      <c r="N166" s="38">
        <v>0</v>
      </c>
      <c r="O166" s="38">
        <f>G166*N166</f>
        <v>0</v>
      </c>
      <c r="P166" s="40" t="s">
        <v>60</v>
      </c>
      <c r="Z166" s="38">
        <f>IF(AQ166="5",BJ166,0)</f>
        <v>0</v>
      </c>
      <c r="AB166" s="38">
        <f>IF(AQ166="1",BH166,0)</f>
        <v>0</v>
      </c>
      <c r="AC166" s="38">
        <f>IF(AQ166="1",BI166,0)</f>
        <v>0</v>
      </c>
      <c r="AD166" s="38">
        <f>IF(AQ166="7",BH166,0)</f>
        <v>0</v>
      </c>
      <c r="AE166" s="38">
        <f>IF(AQ166="7",BI166,0)</f>
        <v>0</v>
      </c>
      <c r="AF166" s="38">
        <f>IF(AQ166="2",BH166,0)</f>
        <v>0</v>
      </c>
      <c r="AG166" s="38">
        <f>IF(AQ166="2",BI166,0)</f>
        <v>0</v>
      </c>
      <c r="AH166" s="38">
        <f>IF(AQ166="0",BJ166,0)</f>
        <v>0</v>
      </c>
      <c r="AI166" s="13" t="s">
        <v>51</v>
      </c>
      <c r="AJ166" s="38">
        <f>IF(AN166=0,L166,0)</f>
        <v>0</v>
      </c>
      <c r="AK166" s="38">
        <f>IF(AN166=12,L166,0)</f>
        <v>0</v>
      </c>
      <c r="AL166" s="38">
        <f>IF(AN166=21,L166,0)</f>
        <v>0</v>
      </c>
      <c r="AN166" s="38">
        <v>21</v>
      </c>
      <c r="AO166" s="38">
        <f>H166*0</f>
        <v>0</v>
      </c>
      <c r="AP166" s="38">
        <f>H166*(1-0)</f>
        <v>0</v>
      </c>
      <c r="AQ166" s="39" t="s">
        <v>80</v>
      </c>
      <c r="AV166" s="38">
        <f>AW166+AX166</f>
        <v>0</v>
      </c>
      <c r="AW166" s="38">
        <f>G166*AO166</f>
        <v>0</v>
      </c>
      <c r="AX166" s="38">
        <f>G166*AP166</f>
        <v>0</v>
      </c>
      <c r="AY166" s="39" t="s">
        <v>394</v>
      </c>
      <c r="AZ166" s="39" t="s">
        <v>342</v>
      </c>
      <c r="BA166" s="13" t="s">
        <v>63</v>
      </c>
      <c r="BC166" s="38">
        <f>AW166+AX166</f>
        <v>0</v>
      </c>
      <c r="BD166" s="38">
        <f>H166/(100-BE166)*100</f>
        <v>0</v>
      </c>
      <c r="BE166" s="38">
        <v>0</v>
      </c>
      <c r="BF166" s="38">
        <f>O166</f>
        <v>0</v>
      </c>
      <c r="BH166" s="38">
        <f>G166*AO166</f>
        <v>0</v>
      </c>
      <c r="BI166" s="38">
        <f>G166*AP166</f>
        <v>0</v>
      </c>
      <c r="BJ166" s="38">
        <f>G166*H166</f>
        <v>0</v>
      </c>
      <c r="BK166" s="38"/>
      <c r="BL166" s="38">
        <v>722</v>
      </c>
      <c r="BW166" s="38" t="str">
        <f>I166</f>
        <v>21</v>
      </c>
      <c r="BX166" s="5" t="s">
        <v>429</v>
      </c>
    </row>
    <row r="167" spans="1:76" x14ac:dyDescent="0.25">
      <c r="A167" s="33" t="s">
        <v>50</v>
      </c>
      <c r="B167" s="34" t="s">
        <v>51</v>
      </c>
      <c r="C167" s="34" t="s">
        <v>430</v>
      </c>
      <c r="D167" s="174" t="s">
        <v>431</v>
      </c>
      <c r="E167" s="175"/>
      <c r="F167" s="36" t="s">
        <v>4</v>
      </c>
      <c r="G167" s="36" t="s">
        <v>4</v>
      </c>
      <c r="H167" s="36" t="s">
        <v>4</v>
      </c>
      <c r="I167" s="36" t="s">
        <v>4</v>
      </c>
      <c r="J167" s="1">
        <f>SUM(J168:J192)</f>
        <v>0</v>
      </c>
      <c r="K167" s="1">
        <f>SUM(K168:K192)</f>
        <v>0</v>
      </c>
      <c r="L167" s="1">
        <f>SUM(L168:L192)</f>
        <v>0</v>
      </c>
      <c r="M167" s="1">
        <f>SUM(M168:M192)</f>
        <v>0</v>
      </c>
      <c r="N167" s="13" t="s">
        <v>50</v>
      </c>
      <c r="O167" s="1">
        <f>SUM(O168:O192)</f>
        <v>0.67256459999999996</v>
      </c>
      <c r="P167" s="37" t="s">
        <v>50</v>
      </c>
      <c r="AI167" s="13" t="s">
        <v>51</v>
      </c>
      <c r="AS167" s="1">
        <f>SUM(AJ168:AJ192)</f>
        <v>0</v>
      </c>
      <c r="AT167" s="1">
        <f>SUM(AK168:AK192)</f>
        <v>0</v>
      </c>
      <c r="AU167" s="1">
        <f>SUM(AL168:AL192)</f>
        <v>0</v>
      </c>
    </row>
    <row r="168" spans="1:76" x14ac:dyDescent="0.25">
      <c r="A168" s="2" t="s">
        <v>432</v>
      </c>
      <c r="B168" s="3" t="s">
        <v>51</v>
      </c>
      <c r="C168" s="3" t="s">
        <v>433</v>
      </c>
      <c r="D168" s="106" t="s">
        <v>434</v>
      </c>
      <c r="E168" s="107"/>
      <c r="F168" s="3" t="s">
        <v>58</v>
      </c>
      <c r="G168" s="38">
        <v>2</v>
      </c>
      <c r="H168" s="98"/>
      <c r="I168" s="39" t="s">
        <v>59</v>
      </c>
      <c r="J168" s="38">
        <f>G168*AO168</f>
        <v>0</v>
      </c>
      <c r="K168" s="38">
        <f>G168*AP168</f>
        <v>0</v>
      </c>
      <c r="L168" s="38">
        <f>G168*H168</f>
        <v>0</v>
      </c>
      <c r="M168" s="38">
        <f>L168*(1+BW168/100)</f>
        <v>0</v>
      </c>
      <c r="N168" s="38">
        <v>4.0000000000000003E-5</v>
      </c>
      <c r="O168" s="38">
        <f>G168*N168</f>
        <v>8.0000000000000007E-5</v>
      </c>
      <c r="P168" s="40" t="s">
        <v>60</v>
      </c>
      <c r="Z168" s="38">
        <f>IF(AQ168="5",BJ168,0)</f>
        <v>0</v>
      </c>
      <c r="AB168" s="38">
        <f>IF(AQ168="1",BH168,0)</f>
        <v>0</v>
      </c>
      <c r="AC168" s="38">
        <f>IF(AQ168="1",BI168,0)</f>
        <v>0</v>
      </c>
      <c r="AD168" s="38">
        <f>IF(AQ168="7",BH168,0)</f>
        <v>0</v>
      </c>
      <c r="AE168" s="38">
        <f>IF(AQ168="7",BI168,0)</f>
        <v>0</v>
      </c>
      <c r="AF168" s="38">
        <f>IF(AQ168="2",BH168,0)</f>
        <v>0</v>
      </c>
      <c r="AG168" s="38">
        <f>IF(AQ168="2",BI168,0)</f>
        <v>0</v>
      </c>
      <c r="AH168" s="38">
        <f>IF(AQ168="0",BJ168,0)</f>
        <v>0</v>
      </c>
      <c r="AI168" s="13" t="s">
        <v>51</v>
      </c>
      <c r="AJ168" s="38">
        <f>IF(AN168=0,L168,0)</f>
        <v>0</v>
      </c>
      <c r="AK168" s="38">
        <f>IF(AN168=12,L168,0)</f>
        <v>0</v>
      </c>
      <c r="AL168" s="38">
        <f>IF(AN168=21,L168,0)</f>
        <v>0</v>
      </c>
      <c r="AN168" s="38">
        <v>21</v>
      </c>
      <c r="AO168" s="38">
        <f>H168*0.031931624</f>
        <v>0</v>
      </c>
      <c r="AP168" s="38">
        <f>H168*(1-0.031931624)</f>
        <v>0</v>
      </c>
      <c r="AQ168" s="39" t="s">
        <v>87</v>
      </c>
      <c r="AV168" s="38">
        <f>AW168+AX168</f>
        <v>0</v>
      </c>
      <c r="AW168" s="38">
        <f>G168*AO168</f>
        <v>0</v>
      </c>
      <c r="AX168" s="38">
        <f>G168*AP168</f>
        <v>0</v>
      </c>
      <c r="AY168" s="39" t="s">
        <v>435</v>
      </c>
      <c r="AZ168" s="39" t="s">
        <v>342</v>
      </c>
      <c r="BA168" s="13" t="s">
        <v>63</v>
      </c>
      <c r="BC168" s="38">
        <f>AW168+AX168</f>
        <v>0</v>
      </c>
      <c r="BD168" s="38">
        <f>H168/(100-BE168)*100</f>
        <v>0</v>
      </c>
      <c r="BE168" s="38">
        <v>0</v>
      </c>
      <c r="BF168" s="38">
        <f>O168</f>
        <v>8.0000000000000007E-5</v>
      </c>
      <c r="BH168" s="38">
        <f>G168*AO168</f>
        <v>0</v>
      </c>
      <c r="BI168" s="38">
        <f>G168*AP168</f>
        <v>0</v>
      </c>
      <c r="BJ168" s="38">
        <f>G168*H168</f>
        <v>0</v>
      </c>
      <c r="BK168" s="38"/>
      <c r="BL168" s="38">
        <v>725</v>
      </c>
      <c r="BW168" s="38" t="str">
        <f>I168</f>
        <v>21</v>
      </c>
      <c r="BX168" s="5" t="s">
        <v>434</v>
      </c>
    </row>
    <row r="169" spans="1:76" ht="25.5" x14ac:dyDescent="0.25">
      <c r="A169" s="2" t="s">
        <v>436</v>
      </c>
      <c r="B169" s="3" t="s">
        <v>51</v>
      </c>
      <c r="C169" s="3" t="s">
        <v>437</v>
      </c>
      <c r="D169" s="106" t="s">
        <v>438</v>
      </c>
      <c r="E169" s="107"/>
      <c r="F169" s="3" t="s">
        <v>58</v>
      </c>
      <c r="G169" s="38">
        <v>6</v>
      </c>
      <c r="H169" s="98"/>
      <c r="I169" s="39" t="s">
        <v>59</v>
      </c>
      <c r="J169" s="38">
        <f>G169*AO169</f>
        <v>0</v>
      </c>
      <c r="K169" s="38">
        <f>G169*AP169</f>
        <v>0</v>
      </c>
      <c r="L169" s="38">
        <f>G169*H169</f>
        <v>0</v>
      </c>
      <c r="M169" s="38">
        <f>L169*(1+BW169/100)</f>
        <v>0</v>
      </c>
      <c r="N169" s="38">
        <v>1.8E-3</v>
      </c>
      <c r="O169" s="38">
        <f>G169*N169</f>
        <v>1.0800000000000001E-2</v>
      </c>
      <c r="P169" s="40" t="s">
        <v>67</v>
      </c>
      <c r="Z169" s="38">
        <f>IF(AQ169="5",BJ169,0)</f>
        <v>0</v>
      </c>
      <c r="AB169" s="38">
        <f>IF(AQ169="1",BH169,0)</f>
        <v>0</v>
      </c>
      <c r="AC169" s="38">
        <f>IF(AQ169="1",BI169,0)</f>
        <v>0</v>
      </c>
      <c r="AD169" s="38">
        <f>IF(AQ169="7",BH169,0)</f>
        <v>0</v>
      </c>
      <c r="AE169" s="38">
        <f>IF(AQ169="7",BI169,0)</f>
        <v>0</v>
      </c>
      <c r="AF169" s="38">
        <f>IF(AQ169="2",BH169,0)</f>
        <v>0</v>
      </c>
      <c r="AG169" s="38">
        <f>IF(AQ169="2",BI169,0)</f>
        <v>0</v>
      </c>
      <c r="AH169" s="38">
        <f>IF(AQ169="0",BJ169,0)</f>
        <v>0</v>
      </c>
      <c r="AI169" s="13" t="s">
        <v>51</v>
      </c>
      <c r="AJ169" s="38">
        <f>IF(AN169=0,L169,0)</f>
        <v>0</v>
      </c>
      <c r="AK169" s="38">
        <f>IF(AN169=12,L169,0)</f>
        <v>0</v>
      </c>
      <c r="AL169" s="38">
        <f>IF(AN169=21,L169,0)</f>
        <v>0</v>
      </c>
      <c r="AN169" s="38">
        <v>21</v>
      </c>
      <c r="AO169" s="38">
        <f>H169*0.961249655</f>
        <v>0</v>
      </c>
      <c r="AP169" s="38">
        <f>H169*(1-0.961249655)</f>
        <v>0</v>
      </c>
      <c r="AQ169" s="39" t="s">
        <v>87</v>
      </c>
      <c r="AV169" s="38">
        <f>AW169+AX169</f>
        <v>0</v>
      </c>
      <c r="AW169" s="38">
        <f>G169*AO169</f>
        <v>0</v>
      </c>
      <c r="AX169" s="38">
        <f>G169*AP169</f>
        <v>0</v>
      </c>
      <c r="AY169" s="39" t="s">
        <v>435</v>
      </c>
      <c r="AZ169" s="39" t="s">
        <v>342</v>
      </c>
      <c r="BA169" s="13" t="s">
        <v>63</v>
      </c>
      <c r="BC169" s="38">
        <f>AW169+AX169</f>
        <v>0</v>
      </c>
      <c r="BD169" s="38">
        <f>H169/(100-BE169)*100</f>
        <v>0</v>
      </c>
      <c r="BE169" s="38">
        <v>0</v>
      </c>
      <c r="BF169" s="38">
        <f>O169</f>
        <v>1.0800000000000001E-2</v>
      </c>
      <c r="BH169" s="38">
        <f>G169*AO169</f>
        <v>0</v>
      </c>
      <c r="BI169" s="38">
        <f>G169*AP169</f>
        <v>0</v>
      </c>
      <c r="BJ169" s="38">
        <f>G169*H169</f>
        <v>0</v>
      </c>
      <c r="BK169" s="38"/>
      <c r="BL169" s="38">
        <v>725</v>
      </c>
      <c r="BW169" s="38" t="str">
        <f>I169</f>
        <v>21</v>
      </c>
      <c r="BX169" s="5" t="s">
        <v>438</v>
      </c>
    </row>
    <row r="170" spans="1:76" ht="27" customHeight="1" x14ac:dyDescent="0.25">
      <c r="A170" s="41"/>
      <c r="C170" s="42" t="s">
        <v>97</v>
      </c>
      <c r="D170" s="178" t="s">
        <v>439</v>
      </c>
      <c r="E170" s="179"/>
      <c r="F170" s="179"/>
      <c r="G170" s="179"/>
      <c r="H170" s="179"/>
      <c r="I170" s="179"/>
      <c r="J170" s="179"/>
      <c r="K170" s="179"/>
      <c r="L170" s="179"/>
      <c r="M170" s="179"/>
      <c r="N170" s="179"/>
      <c r="O170" s="179"/>
      <c r="P170" s="180"/>
    </row>
    <row r="171" spans="1:76" x14ac:dyDescent="0.25">
      <c r="A171" s="2" t="s">
        <v>440</v>
      </c>
      <c r="B171" s="3" t="s">
        <v>51</v>
      </c>
      <c r="C171" s="3" t="s">
        <v>441</v>
      </c>
      <c r="D171" s="106" t="s">
        <v>442</v>
      </c>
      <c r="E171" s="107"/>
      <c r="F171" s="3" t="s">
        <v>58</v>
      </c>
      <c r="G171" s="38">
        <v>2</v>
      </c>
      <c r="H171" s="98"/>
      <c r="I171" s="39" t="s">
        <v>59</v>
      </c>
      <c r="J171" s="38">
        <f>G171*AO171</f>
        <v>0</v>
      </c>
      <c r="K171" s="38">
        <f>G171*AP171</f>
        <v>0</v>
      </c>
      <c r="L171" s="38">
        <f>G171*H171</f>
        <v>0</v>
      </c>
      <c r="M171" s="38">
        <f>L171*(1+BW171/100)</f>
        <v>0</v>
      </c>
      <c r="N171" s="38">
        <v>8.4999999999999995E-4</v>
      </c>
      <c r="O171" s="38">
        <f>G171*N171</f>
        <v>1.6999999999999999E-3</v>
      </c>
      <c r="P171" s="40" t="s">
        <v>60</v>
      </c>
      <c r="Z171" s="38">
        <f>IF(AQ171="5",BJ171,0)</f>
        <v>0</v>
      </c>
      <c r="AB171" s="38">
        <f>IF(AQ171="1",BH171,0)</f>
        <v>0</v>
      </c>
      <c r="AC171" s="38">
        <f>IF(AQ171="1",BI171,0)</f>
        <v>0</v>
      </c>
      <c r="AD171" s="38">
        <f>IF(AQ171="7",BH171,0)</f>
        <v>0</v>
      </c>
      <c r="AE171" s="38">
        <f>IF(AQ171="7",BI171,0)</f>
        <v>0</v>
      </c>
      <c r="AF171" s="38">
        <f>IF(AQ171="2",BH171,0)</f>
        <v>0</v>
      </c>
      <c r="AG171" s="38">
        <f>IF(AQ171="2",BI171,0)</f>
        <v>0</v>
      </c>
      <c r="AH171" s="38">
        <f>IF(AQ171="0",BJ171,0)</f>
        <v>0</v>
      </c>
      <c r="AI171" s="13" t="s">
        <v>51</v>
      </c>
      <c r="AJ171" s="38">
        <f>IF(AN171=0,L171,0)</f>
        <v>0</v>
      </c>
      <c r="AK171" s="38">
        <f>IF(AN171=12,L171,0)</f>
        <v>0</v>
      </c>
      <c r="AL171" s="38">
        <f>IF(AN171=21,L171,0)</f>
        <v>0</v>
      </c>
      <c r="AN171" s="38">
        <v>21</v>
      </c>
      <c r="AO171" s="38">
        <f>H171*0.884522449</f>
        <v>0</v>
      </c>
      <c r="AP171" s="38">
        <f>H171*(1-0.884522449)</f>
        <v>0</v>
      </c>
      <c r="AQ171" s="39" t="s">
        <v>87</v>
      </c>
      <c r="AV171" s="38">
        <f>AW171+AX171</f>
        <v>0</v>
      </c>
      <c r="AW171" s="38">
        <f>G171*AO171</f>
        <v>0</v>
      </c>
      <c r="AX171" s="38">
        <f>G171*AP171</f>
        <v>0</v>
      </c>
      <c r="AY171" s="39" t="s">
        <v>435</v>
      </c>
      <c r="AZ171" s="39" t="s">
        <v>342</v>
      </c>
      <c r="BA171" s="13" t="s">
        <v>63</v>
      </c>
      <c r="BC171" s="38">
        <f>AW171+AX171</f>
        <v>0</v>
      </c>
      <c r="BD171" s="38">
        <f>H171/(100-BE171)*100</f>
        <v>0</v>
      </c>
      <c r="BE171" s="38">
        <v>0</v>
      </c>
      <c r="BF171" s="38">
        <f>O171</f>
        <v>1.6999999999999999E-3</v>
      </c>
      <c r="BH171" s="38">
        <f>G171*AO171</f>
        <v>0</v>
      </c>
      <c r="BI171" s="38">
        <f>G171*AP171</f>
        <v>0</v>
      </c>
      <c r="BJ171" s="38">
        <f>G171*H171</f>
        <v>0</v>
      </c>
      <c r="BK171" s="38"/>
      <c r="BL171" s="38">
        <v>725</v>
      </c>
      <c r="BW171" s="38" t="str">
        <f>I171</f>
        <v>21</v>
      </c>
      <c r="BX171" s="5" t="s">
        <v>442</v>
      </c>
    </row>
    <row r="172" spans="1:76" x14ac:dyDescent="0.25">
      <c r="A172" s="2" t="s">
        <v>443</v>
      </c>
      <c r="B172" s="3" t="s">
        <v>51</v>
      </c>
      <c r="C172" s="3" t="s">
        <v>444</v>
      </c>
      <c r="D172" s="106" t="s">
        <v>445</v>
      </c>
      <c r="E172" s="107"/>
      <c r="F172" s="3" t="s">
        <v>140</v>
      </c>
      <c r="G172" s="38">
        <v>6</v>
      </c>
      <c r="H172" s="98"/>
      <c r="I172" s="39" t="s">
        <v>59</v>
      </c>
      <c r="J172" s="38">
        <f>G172*AO172</f>
        <v>0</v>
      </c>
      <c r="K172" s="38">
        <f>G172*AP172</f>
        <v>0</v>
      </c>
      <c r="L172" s="38">
        <f>G172*H172</f>
        <v>0</v>
      </c>
      <c r="M172" s="38">
        <f>L172*(1+BW172/100)</f>
        <v>0</v>
      </c>
      <c r="N172" s="38">
        <v>8.4000000000000003E-4</v>
      </c>
      <c r="O172" s="38">
        <f>G172*N172</f>
        <v>5.0400000000000002E-3</v>
      </c>
      <c r="P172" s="40" t="s">
        <v>67</v>
      </c>
      <c r="Z172" s="38">
        <f>IF(AQ172="5",BJ172,0)</f>
        <v>0</v>
      </c>
      <c r="AB172" s="38">
        <f>IF(AQ172="1",BH172,0)</f>
        <v>0</v>
      </c>
      <c r="AC172" s="38">
        <f>IF(AQ172="1",BI172,0)</f>
        <v>0</v>
      </c>
      <c r="AD172" s="38">
        <f>IF(AQ172="7",BH172,0)</f>
        <v>0</v>
      </c>
      <c r="AE172" s="38">
        <f>IF(AQ172="7",BI172,0)</f>
        <v>0</v>
      </c>
      <c r="AF172" s="38">
        <f>IF(AQ172="2",BH172,0)</f>
        <v>0</v>
      </c>
      <c r="AG172" s="38">
        <f>IF(AQ172="2",BI172,0)</f>
        <v>0</v>
      </c>
      <c r="AH172" s="38">
        <f>IF(AQ172="0",BJ172,0)</f>
        <v>0</v>
      </c>
      <c r="AI172" s="13" t="s">
        <v>51</v>
      </c>
      <c r="AJ172" s="38">
        <f>IF(AN172=0,L172,0)</f>
        <v>0</v>
      </c>
      <c r="AK172" s="38">
        <f>IF(AN172=12,L172,0)</f>
        <v>0</v>
      </c>
      <c r="AL172" s="38">
        <f>IF(AN172=21,L172,0)</f>
        <v>0</v>
      </c>
      <c r="AN172" s="38">
        <v>21</v>
      </c>
      <c r="AO172" s="38">
        <f>H172*0.402375</f>
        <v>0</v>
      </c>
      <c r="AP172" s="38">
        <f>H172*(1-0.402375)</f>
        <v>0</v>
      </c>
      <c r="AQ172" s="39" t="s">
        <v>87</v>
      </c>
      <c r="AV172" s="38">
        <f>AW172+AX172</f>
        <v>0</v>
      </c>
      <c r="AW172" s="38">
        <f>G172*AO172</f>
        <v>0</v>
      </c>
      <c r="AX172" s="38">
        <f>G172*AP172</f>
        <v>0</v>
      </c>
      <c r="AY172" s="39" t="s">
        <v>435</v>
      </c>
      <c r="AZ172" s="39" t="s">
        <v>342</v>
      </c>
      <c r="BA172" s="13" t="s">
        <v>63</v>
      </c>
      <c r="BC172" s="38">
        <f>AW172+AX172</f>
        <v>0</v>
      </c>
      <c r="BD172" s="38">
        <f>H172/(100-BE172)*100</f>
        <v>0</v>
      </c>
      <c r="BE172" s="38">
        <v>0</v>
      </c>
      <c r="BF172" s="38">
        <f>O172</f>
        <v>5.0400000000000002E-3</v>
      </c>
      <c r="BH172" s="38">
        <f>G172*AO172</f>
        <v>0</v>
      </c>
      <c r="BI172" s="38">
        <f>G172*AP172</f>
        <v>0</v>
      </c>
      <c r="BJ172" s="38">
        <f>G172*H172</f>
        <v>0</v>
      </c>
      <c r="BK172" s="38"/>
      <c r="BL172" s="38">
        <v>725</v>
      </c>
      <c r="BW172" s="38" t="str">
        <f>I172</f>
        <v>21</v>
      </c>
      <c r="BX172" s="5" t="s">
        <v>445</v>
      </c>
    </row>
    <row r="173" spans="1:76" x14ac:dyDescent="0.25">
      <c r="A173" s="2" t="s">
        <v>446</v>
      </c>
      <c r="B173" s="3" t="s">
        <v>51</v>
      </c>
      <c r="C173" s="3" t="s">
        <v>447</v>
      </c>
      <c r="D173" s="106" t="s">
        <v>448</v>
      </c>
      <c r="E173" s="107"/>
      <c r="F173" s="3" t="s">
        <v>58</v>
      </c>
      <c r="G173" s="38">
        <v>6</v>
      </c>
      <c r="H173" s="98"/>
      <c r="I173" s="39" t="s">
        <v>59</v>
      </c>
      <c r="J173" s="38">
        <f>G173*AO173</f>
        <v>0</v>
      </c>
      <c r="K173" s="38">
        <f>G173*AP173</f>
        <v>0</v>
      </c>
      <c r="L173" s="38">
        <f>G173*H173</f>
        <v>0</v>
      </c>
      <c r="M173" s="38">
        <f>L173*(1+BW173/100)</f>
        <v>0</v>
      </c>
      <c r="N173" s="38">
        <v>7.6E-3</v>
      </c>
      <c r="O173" s="38">
        <f>G173*N173</f>
        <v>4.5600000000000002E-2</v>
      </c>
      <c r="P173" s="40" t="s">
        <v>67</v>
      </c>
      <c r="Z173" s="38">
        <f>IF(AQ173="5",BJ173,0)</f>
        <v>0</v>
      </c>
      <c r="AB173" s="38">
        <f>IF(AQ173="1",BH173,0)</f>
        <v>0</v>
      </c>
      <c r="AC173" s="38">
        <f>IF(AQ173="1",BI173,0)</f>
        <v>0</v>
      </c>
      <c r="AD173" s="38">
        <f>IF(AQ173="7",BH173,0)</f>
        <v>0</v>
      </c>
      <c r="AE173" s="38">
        <f>IF(AQ173="7",BI173,0)</f>
        <v>0</v>
      </c>
      <c r="AF173" s="38">
        <f>IF(AQ173="2",BH173,0)</f>
        <v>0</v>
      </c>
      <c r="AG173" s="38">
        <f>IF(AQ173="2",BI173,0)</f>
        <v>0</v>
      </c>
      <c r="AH173" s="38">
        <f>IF(AQ173="0",BJ173,0)</f>
        <v>0</v>
      </c>
      <c r="AI173" s="13" t="s">
        <v>51</v>
      </c>
      <c r="AJ173" s="38">
        <f>IF(AN173=0,L173,0)</f>
        <v>0</v>
      </c>
      <c r="AK173" s="38">
        <f>IF(AN173=12,L173,0)</f>
        <v>0</v>
      </c>
      <c r="AL173" s="38">
        <f>IF(AN173=21,L173,0)</f>
        <v>0</v>
      </c>
      <c r="AN173" s="38">
        <v>21</v>
      </c>
      <c r="AO173" s="38">
        <f>H173*1</f>
        <v>0</v>
      </c>
      <c r="AP173" s="38">
        <f>H173*(1-1)</f>
        <v>0</v>
      </c>
      <c r="AQ173" s="39" t="s">
        <v>87</v>
      </c>
      <c r="AV173" s="38">
        <f>AW173+AX173</f>
        <v>0</v>
      </c>
      <c r="AW173" s="38">
        <f>G173*AO173</f>
        <v>0</v>
      </c>
      <c r="AX173" s="38">
        <f>G173*AP173</f>
        <v>0</v>
      </c>
      <c r="AY173" s="39" t="s">
        <v>435</v>
      </c>
      <c r="AZ173" s="39" t="s">
        <v>342</v>
      </c>
      <c r="BA173" s="13" t="s">
        <v>63</v>
      </c>
      <c r="BC173" s="38">
        <f>AW173+AX173</f>
        <v>0</v>
      </c>
      <c r="BD173" s="38">
        <f>H173/(100-BE173)*100</f>
        <v>0</v>
      </c>
      <c r="BE173" s="38">
        <v>0</v>
      </c>
      <c r="BF173" s="38">
        <f>O173</f>
        <v>4.5600000000000002E-2</v>
      </c>
      <c r="BH173" s="38">
        <f>G173*AO173</f>
        <v>0</v>
      </c>
      <c r="BI173" s="38">
        <f>G173*AP173</f>
        <v>0</v>
      </c>
      <c r="BJ173" s="38">
        <f>G173*H173</f>
        <v>0</v>
      </c>
      <c r="BK173" s="38"/>
      <c r="BL173" s="38">
        <v>725</v>
      </c>
      <c r="BW173" s="38" t="str">
        <f>I173</f>
        <v>21</v>
      </c>
      <c r="BX173" s="5" t="s">
        <v>448</v>
      </c>
    </row>
    <row r="174" spans="1:76" x14ac:dyDescent="0.25">
      <c r="A174" s="41"/>
      <c r="C174" s="42" t="s">
        <v>78</v>
      </c>
      <c r="D174" s="178" t="s">
        <v>449</v>
      </c>
      <c r="E174" s="179"/>
      <c r="F174" s="179"/>
      <c r="G174" s="179"/>
      <c r="H174" s="179"/>
      <c r="I174" s="179"/>
      <c r="J174" s="179"/>
      <c r="K174" s="179"/>
      <c r="L174" s="179"/>
      <c r="M174" s="179"/>
      <c r="N174" s="179"/>
      <c r="O174" s="179"/>
      <c r="P174" s="180"/>
      <c r="BX174" s="43" t="s">
        <v>449</v>
      </c>
    </row>
    <row r="175" spans="1:76" x14ac:dyDescent="0.25">
      <c r="A175" s="2" t="s">
        <v>450</v>
      </c>
      <c r="B175" s="3" t="s">
        <v>51</v>
      </c>
      <c r="C175" s="3" t="s">
        <v>451</v>
      </c>
      <c r="D175" s="106" t="s">
        <v>452</v>
      </c>
      <c r="E175" s="107"/>
      <c r="F175" s="3" t="s">
        <v>140</v>
      </c>
      <c r="G175" s="38">
        <v>2</v>
      </c>
      <c r="H175" s="98"/>
      <c r="I175" s="39" t="s">
        <v>59</v>
      </c>
      <c r="J175" s="38">
        <f>G175*AO175</f>
        <v>0</v>
      </c>
      <c r="K175" s="38">
        <f>G175*AP175</f>
        <v>0</v>
      </c>
      <c r="L175" s="38">
        <f>G175*H175</f>
        <v>0</v>
      </c>
      <c r="M175" s="38">
        <f>L175*(1+BW175/100)</f>
        <v>0</v>
      </c>
      <c r="N175" s="38">
        <v>1.41E-3</v>
      </c>
      <c r="O175" s="38">
        <f>G175*N175</f>
        <v>2.82E-3</v>
      </c>
      <c r="P175" s="40" t="s">
        <v>60</v>
      </c>
      <c r="Z175" s="38">
        <f>IF(AQ175="5",BJ175,0)</f>
        <v>0</v>
      </c>
      <c r="AB175" s="38">
        <f>IF(AQ175="1",BH175,0)</f>
        <v>0</v>
      </c>
      <c r="AC175" s="38">
        <f>IF(AQ175="1",BI175,0)</f>
        <v>0</v>
      </c>
      <c r="AD175" s="38">
        <f>IF(AQ175="7",BH175,0)</f>
        <v>0</v>
      </c>
      <c r="AE175" s="38">
        <f>IF(AQ175="7",BI175,0)</f>
        <v>0</v>
      </c>
      <c r="AF175" s="38">
        <f>IF(AQ175="2",BH175,0)</f>
        <v>0</v>
      </c>
      <c r="AG175" s="38">
        <f>IF(AQ175="2",BI175,0)</f>
        <v>0</v>
      </c>
      <c r="AH175" s="38">
        <f>IF(AQ175="0",BJ175,0)</f>
        <v>0</v>
      </c>
      <c r="AI175" s="13" t="s">
        <v>51</v>
      </c>
      <c r="AJ175" s="38">
        <f>IF(AN175=0,L175,0)</f>
        <v>0</v>
      </c>
      <c r="AK175" s="38">
        <f>IF(AN175=12,L175,0)</f>
        <v>0</v>
      </c>
      <c r="AL175" s="38">
        <f>IF(AN175=21,L175,0)</f>
        <v>0</v>
      </c>
      <c r="AN175" s="38">
        <v>21</v>
      </c>
      <c r="AO175" s="38">
        <f>H175*0.149504432</f>
        <v>0</v>
      </c>
      <c r="AP175" s="38">
        <f>H175*(1-0.149504432)</f>
        <v>0</v>
      </c>
      <c r="AQ175" s="39" t="s">
        <v>87</v>
      </c>
      <c r="AV175" s="38">
        <f>AW175+AX175</f>
        <v>0</v>
      </c>
      <c r="AW175" s="38">
        <f>G175*AO175</f>
        <v>0</v>
      </c>
      <c r="AX175" s="38">
        <f>G175*AP175</f>
        <v>0</v>
      </c>
      <c r="AY175" s="39" t="s">
        <v>435</v>
      </c>
      <c r="AZ175" s="39" t="s">
        <v>342</v>
      </c>
      <c r="BA175" s="13" t="s">
        <v>63</v>
      </c>
      <c r="BC175" s="38">
        <f>AW175+AX175</f>
        <v>0</v>
      </c>
      <c r="BD175" s="38">
        <f>H175/(100-BE175)*100</f>
        <v>0</v>
      </c>
      <c r="BE175" s="38">
        <v>0</v>
      </c>
      <c r="BF175" s="38">
        <f>O175</f>
        <v>2.82E-3</v>
      </c>
      <c r="BH175" s="38">
        <f>G175*AO175</f>
        <v>0</v>
      </c>
      <c r="BI175" s="38">
        <f>G175*AP175</f>
        <v>0</v>
      </c>
      <c r="BJ175" s="38">
        <f>G175*H175</f>
        <v>0</v>
      </c>
      <c r="BK175" s="38"/>
      <c r="BL175" s="38">
        <v>725</v>
      </c>
      <c r="BW175" s="38" t="str">
        <f>I175</f>
        <v>21</v>
      </c>
      <c r="BX175" s="5" t="s">
        <v>452</v>
      </c>
    </row>
    <row r="176" spans="1:76" x14ac:dyDescent="0.25">
      <c r="A176" s="2" t="s">
        <v>453</v>
      </c>
      <c r="B176" s="3" t="s">
        <v>51</v>
      </c>
      <c r="C176" s="3" t="s">
        <v>454</v>
      </c>
      <c r="D176" s="106" t="s">
        <v>455</v>
      </c>
      <c r="E176" s="107"/>
      <c r="F176" s="3" t="s">
        <v>58</v>
      </c>
      <c r="G176" s="38">
        <v>1</v>
      </c>
      <c r="H176" s="98"/>
      <c r="I176" s="39" t="s">
        <v>59</v>
      </c>
      <c r="J176" s="38">
        <f>G176*AO176</f>
        <v>0</v>
      </c>
      <c r="K176" s="38">
        <f>G176*AP176</f>
        <v>0</v>
      </c>
      <c r="L176" s="38">
        <f>G176*H176</f>
        <v>0</v>
      </c>
      <c r="M176" s="38">
        <f>L176*(1+BW176/100)</f>
        <v>0</v>
      </c>
      <c r="N176" s="38">
        <v>8.0000000000000002E-3</v>
      </c>
      <c r="O176" s="38">
        <f>G176*N176</f>
        <v>8.0000000000000002E-3</v>
      </c>
      <c r="P176" s="40" t="s">
        <v>67</v>
      </c>
      <c r="Z176" s="38">
        <f>IF(AQ176="5",BJ176,0)</f>
        <v>0</v>
      </c>
      <c r="AB176" s="38">
        <f>IF(AQ176="1",BH176,0)</f>
        <v>0</v>
      </c>
      <c r="AC176" s="38">
        <f>IF(AQ176="1",BI176,0)</f>
        <v>0</v>
      </c>
      <c r="AD176" s="38">
        <f>IF(AQ176="7",BH176,0)</f>
        <v>0</v>
      </c>
      <c r="AE176" s="38">
        <f>IF(AQ176="7",BI176,0)</f>
        <v>0</v>
      </c>
      <c r="AF176" s="38">
        <f>IF(AQ176="2",BH176,0)</f>
        <v>0</v>
      </c>
      <c r="AG176" s="38">
        <f>IF(AQ176="2",BI176,0)</f>
        <v>0</v>
      </c>
      <c r="AH176" s="38">
        <f>IF(AQ176="0",BJ176,0)</f>
        <v>0</v>
      </c>
      <c r="AI176" s="13" t="s">
        <v>51</v>
      </c>
      <c r="AJ176" s="38">
        <f>IF(AN176=0,L176,0)</f>
        <v>0</v>
      </c>
      <c r="AK176" s="38">
        <f>IF(AN176=12,L176,0)</f>
        <v>0</v>
      </c>
      <c r="AL176" s="38">
        <f>IF(AN176=21,L176,0)</f>
        <v>0</v>
      </c>
      <c r="AN176" s="38">
        <v>21</v>
      </c>
      <c r="AO176" s="38">
        <f>H176*1</f>
        <v>0</v>
      </c>
      <c r="AP176" s="38">
        <f>H176*(1-1)</f>
        <v>0</v>
      </c>
      <c r="AQ176" s="39" t="s">
        <v>87</v>
      </c>
      <c r="AV176" s="38">
        <f>AW176+AX176</f>
        <v>0</v>
      </c>
      <c r="AW176" s="38">
        <f>G176*AO176</f>
        <v>0</v>
      </c>
      <c r="AX176" s="38">
        <f>G176*AP176</f>
        <v>0</v>
      </c>
      <c r="AY176" s="39" t="s">
        <v>435</v>
      </c>
      <c r="AZ176" s="39" t="s">
        <v>342</v>
      </c>
      <c r="BA176" s="13" t="s">
        <v>63</v>
      </c>
      <c r="BC176" s="38">
        <f>AW176+AX176</f>
        <v>0</v>
      </c>
      <c r="BD176" s="38">
        <f>H176/(100-BE176)*100</f>
        <v>0</v>
      </c>
      <c r="BE176" s="38">
        <v>0</v>
      </c>
      <c r="BF176" s="38">
        <f>O176</f>
        <v>8.0000000000000002E-3</v>
      </c>
      <c r="BH176" s="38">
        <f>G176*AO176</f>
        <v>0</v>
      </c>
      <c r="BI176" s="38">
        <f>G176*AP176</f>
        <v>0</v>
      </c>
      <c r="BJ176" s="38">
        <f>G176*H176</f>
        <v>0</v>
      </c>
      <c r="BK176" s="38"/>
      <c r="BL176" s="38">
        <v>725</v>
      </c>
      <c r="BW176" s="38" t="str">
        <f>I176</f>
        <v>21</v>
      </c>
      <c r="BX176" s="5" t="s">
        <v>455</v>
      </c>
    </row>
    <row r="177" spans="1:76" ht="25.5" x14ac:dyDescent="0.25">
      <c r="A177" s="41"/>
      <c r="C177" s="42" t="s">
        <v>78</v>
      </c>
      <c r="D177" s="178" t="s">
        <v>456</v>
      </c>
      <c r="E177" s="179"/>
      <c r="F177" s="179"/>
      <c r="G177" s="179"/>
      <c r="H177" s="179"/>
      <c r="I177" s="179"/>
      <c r="J177" s="179"/>
      <c r="K177" s="179"/>
      <c r="L177" s="179"/>
      <c r="M177" s="179"/>
      <c r="N177" s="179"/>
      <c r="O177" s="179"/>
      <c r="P177" s="180"/>
      <c r="BX177" s="43" t="s">
        <v>456</v>
      </c>
    </row>
    <row r="178" spans="1:76" x14ac:dyDescent="0.25">
      <c r="A178" s="2" t="s">
        <v>457</v>
      </c>
      <c r="B178" s="3" t="s">
        <v>51</v>
      </c>
      <c r="C178" s="3" t="s">
        <v>458</v>
      </c>
      <c r="D178" s="106" t="s">
        <v>459</v>
      </c>
      <c r="E178" s="107"/>
      <c r="F178" s="3" t="s">
        <v>58</v>
      </c>
      <c r="G178" s="38">
        <v>1</v>
      </c>
      <c r="H178" s="98"/>
      <c r="I178" s="39" t="s">
        <v>59</v>
      </c>
      <c r="J178" s="38">
        <f>G178*AO178</f>
        <v>0</v>
      </c>
      <c r="K178" s="38">
        <f>G178*AP178</f>
        <v>0</v>
      </c>
      <c r="L178" s="38">
        <f>G178*H178</f>
        <v>0</v>
      </c>
      <c r="M178" s="38">
        <f>L178*(1+BW178/100)</f>
        <v>0</v>
      </c>
      <c r="N178" s="38">
        <v>1.6E-2</v>
      </c>
      <c r="O178" s="38">
        <f>G178*N178</f>
        <v>1.6E-2</v>
      </c>
      <c r="P178" s="40" t="s">
        <v>67</v>
      </c>
      <c r="Z178" s="38">
        <f>IF(AQ178="5",BJ178,0)</f>
        <v>0</v>
      </c>
      <c r="AB178" s="38">
        <f>IF(AQ178="1",BH178,0)</f>
        <v>0</v>
      </c>
      <c r="AC178" s="38">
        <f>IF(AQ178="1",BI178,0)</f>
        <v>0</v>
      </c>
      <c r="AD178" s="38">
        <f>IF(AQ178="7",BH178,0)</f>
        <v>0</v>
      </c>
      <c r="AE178" s="38">
        <f>IF(AQ178="7",BI178,0)</f>
        <v>0</v>
      </c>
      <c r="AF178" s="38">
        <f>IF(AQ178="2",BH178,0)</f>
        <v>0</v>
      </c>
      <c r="AG178" s="38">
        <f>IF(AQ178="2",BI178,0)</f>
        <v>0</v>
      </c>
      <c r="AH178" s="38">
        <f>IF(AQ178="0",BJ178,0)</f>
        <v>0</v>
      </c>
      <c r="AI178" s="13" t="s">
        <v>51</v>
      </c>
      <c r="AJ178" s="38">
        <f>IF(AN178=0,L178,0)</f>
        <v>0</v>
      </c>
      <c r="AK178" s="38">
        <f>IF(AN178=12,L178,0)</f>
        <v>0</v>
      </c>
      <c r="AL178" s="38">
        <f>IF(AN178=21,L178,0)</f>
        <v>0</v>
      </c>
      <c r="AN178" s="38">
        <v>21</v>
      </c>
      <c r="AO178" s="38">
        <f>H178*1</f>
        <v>0</v>
      </c>
      <c r="AP178" s="38">
        <f>H178*(1-1)</f>
        <v>0</v>
      </c>
      <c r="AQ178" s="39" t="s">
        <v>87</v>
      </c>
      <c r="AV178" s="38">
        <f>AW178+AX178</f>
        <v>0</v>
      </c>
      <c r="AW178" s="38">
        <f>G178*AO178</f>
        <v>0</v>
      </c>
      <c r="AX178" s="38">
        <f>G178*AP178</f>
        <v>0</v>
      </c>
      <c r="AY178" s="39" t="s">
        <v>435</v>
      </c>
      <c r="AZ178" s="39" t="s">
        <v>342</v>
      </c>
      <c r="BA178" s="13" t="s">
        <v>63</v>
      </c>
      <c r="BC178" s="38">
        <f>AW178+AX178</f>
        <v>0</v>
      </c>
      <c r="BD178" s="38">
        <f>H178/(100-BE178)*100</f>
        <v>0</v>
      </c>
      <c r="BE178" s="38">
        <v>0</v>
      </c>
      <c r="BF178" s="38">
        <f>O178</f>
        <v>1.6E-2</v>
      </c>
      <c r="BH178" s="38">
        <f>G178*AO178</f>
        <v>0</v>
      </c>
      <c r="BI178" s="38">
        <f>G178*AP178</f>
        <v>0</v>
      </c>
      <c r="BJ178" s="38">
        <f>G178*H178</f>
        <v>0</v>
      </c>
      <c r="BK178" s="38"/>
      <c r="BL178" s="38">
        <v>725</v>
      </c>
      <c r="BW178" s="38" t="str">
        <f>I178</f>
        <v>21</v>
      </c>
      <c r="BX178" s="5" t="s">
        <v>459</v>
      </c>
    </row>
    <row r="179" spans="1:76" x14ac:dyDescent="0.25">
      <c r="A179" s="41"/>
      <c r="C179" s="42" t="s">
        <v>78</v>
      </c>
      <c r="D179" s="178" t="s">
        <v>460</v>
      </c>
      <c r="E179" s="179"/>
      <c r="F179" s="179"/>
      <c r="G179" s="179"/>
      <c r="H179" s="179"/>
      <c r="I179" s="179"/>
      <c r="J179" s="179"/>
      <c r="K179" s="179"/>
      <c r="L179" s="179"/>
      <c r="M179" s="179"/>
      <c r="N179" s="179"/>
      <c r="O179" s="179"/>
      <c r="P179" s="180"/>
      <c r="BX179" s="43" t="s">
        <v>460</v>
      </c>
    </row>
    <row r="180" spans="1:76" x14ac:dyDescent="0.25">
      <c r="A180" s="2" t="s">
        <v>461</v>
      </c>
      <c r="B180" s="3" t="s">
        <v>51</v>
      </c>
      <c r="C180" s="3" t="s">
        <v>462</v>
      </c>
      <c r="D180" s="106" t="s">
        <v>463</v>
      </c>
      <c r="E180" s="107"/>
      <c r="F180" s="3" t="s">
        <v>58</v>
      </c>
      <c r="G180" s="38">
        <v>8</v>
      </c>
      <c r="H180" s="98"/>
      <c r="I180" s="39" t="s">
        <v>59</v>
      </c>
      <c r="J180" s="38">
        <f>G180*AO180</f>
        <v>0</v>
      </c>
      <c r="K180" s="38">
        <f>G180*AP180</f>
        <v>0</v>
      </c>
      <c r="L180" s="38">
        <f>G180*H180</f>
        <v>0</v>
      </c>
      <c r="M180" s="38">
        <f>L180*(1+BW180/100)</f>
        <v>0</v>
      </c>
      <c r="N180" s="38">
        <v>0</v>
      </c>
      <c r="O180" s="38">
        <f>G180*N180</f>
        <v>0</v>
      </c>
      <c r="P180" s="40" t="s">
        <v>60</v>
      </c>
      <c r="Z180" s="38">
        <f>IF(AQ180="5",BJ180,0)</f>
        <v>0</v>
      </c>
      <c r="AB180" s="38">
        <f>IF(AQ180="1",BH180,0)</f>
        <v>0</v>
      </c>
      <c r="AC180" s="38">
        <f>IF(AQ180="1",BI180,0)</f>
        <v>0</v>
      </c>
      <c r="AD180" s="38">
        <f>IF(AQ180="7",BH180,0)</f>
        <v>0</v>
      </c>
      <c r="AE180" s="38">
        <f>IF(AQ180="7",BI180,0)</f>
        <v>0</v>
      </c>
      <c r="AF180" s="38">
        <f>IF(AQ180="2",BH180,0)</f>
        <v>0</v>
      </c>
      <c r="AG180" s="38">
        <f>IF(AQ180="2",BI180,0)</f>
        <v>0</v>
      </c>
      <c r="AH180" s="38">
        <f>IF(AQ180="0",BJ180,0)</f>
        <v>0</v>
      </c>
      <c r="AI180" s="13" t="s">
        <v>51</v>
      </c>
      <c r="AJ180" s="38">
        <f>IF(AN180=0,L180,0)</f>
        <v>0</v>
      </c>
      <c r="AK180" s="38">
        <f>IF(AN180=12,L180,0)</f>
        <v>0</v>
      </c>
      <c r="AL180" s="38">
        <f>IF(AN180=21,L180,0)</f>
        <v>0</v>
      </c>
      <c r="AN180" s="38">
        <v>21</v>
      </c>
      <c r="AO180" s="38">
        <f>H180*0.855861751</f>
        <v>0</v>
      </c>
      <c r="AP180" s="38">
        <f>H180*(1-0.855861751)</f>
        <v>0</v>
      </c>
      <c r="AQ180" s="39" t="s">
        <v>87</v>
      </c>
      <c r="AV180" s="38">
        <f>AW180+AX180</f>
        <v>0</v>
      </c>
      <c r="AW180" s="38">
        <f>G180*AO180</f>
        <v>0</v>
      </c>
      <c r="AX180" s="38">
        <f>G180*AP180</f>
        <v>0</v>
      </c>
      <c r="AY180" s="39" t="s">
        <v>435</v>
      </c>
      <c r="AZ180" s="39" t="s">
        <v>342</v>
      </c>
      <c r="BA180" s="13" t="s">
        <v>63</v>
      </c>
      <c r="BC180" s="38">
        <f>AW180+AX180</f>
        <v>0</v>
      </c>
      <c r="BD180" s="38">
        <f>H180/(100-BE180)*100</f>
        <v>0</v>
      </c>
      <c r="BE180" s="38">
        <v>0</v>
      </c>
      <c r="BF180" s="38">
        <f>O180</f>
        <v>0</v>
      </c>
      <c r="BH180" s="38">
        <f>G180*AO180</f>
        <v>0</v>
      </c>
      <c r="BI180" s="38">
        <f>G180*AP180</f>
        <v>0</v>
      </c>
      <c r="BJ180" s="38">
        <f>G180*H180</f>
        <v>0</v>
      </c>
      <c r="BK180" s="38"/>
      <c r="BL180" s="38">
        <v>725</v>
      </c>
      <c r="BW180" s="38" t="str">
        <f>I180</f>
        <v>21</v>
      </c>
      <c r="BX180" s="5" t="s">
        <v>463</v>
      </c>
    </row>
    <row r="181" spans="1:76" x14ac:dyDescent="0.25">
      <c r="A181" s="2" t="s">
        <v>464</v>
      </c>
      <c r="B181" s="3" t="s">
        <v>51</v>
      </c>
      <c r="C181" s="3" t="s">
        <v>465</v>
      </c>
      <c r="D181" s="106" t="s">
        <v>466</v>
      </c>
      <c r="E181" s="107"/>
      <c r="F181" s="3" t="s">
        <v>140</v>
      </c>
      <c r="G181" s="38">
        <v>9</v>
      </c>
      <c r="H181" s="98"/>
      <c r="I181" s="39" t="s">
        <v>59</v>
      </c>
      <c r="J181" s="38">
        <f>G181*AO181</f>
        <v>0</v>
      </c>
      <c r="K181" s="38">
        <f>G181*AP181</f>
        <v>0</v>
      </c>
      <c r="L181" s="38">
        <f>G181*H181</f>
        <v>0</v>
      </c>
      <c r="M181" s="38">
        <f>L181*(1+BW181/100)</f>
        <v>0</v>
      </c>
      <c r="N181" s="38">
        <v>8.7000000000000001E-4</v>
      </c>
      <c r="O181" s="38">
        <f>G181*N181</f>
        <v>7.8300000000000002E-3</v>
      </c>
      <c r="P181" s="40" t="s">
        <v>60</v>
      </c>
      <c r="Z181" s="38">
        <f>IF(AQ181="5",BJ181,0)</f>
        <v>0</v>
      </c>
      <c r="AB181" s="38">
        <f>IF(AQ181="1",BH181,0)</f>
        <v>0</v>
      </c>
      <c r="AC181" s="38">
        <f>IF(AQ181="1",BI181,0)</f>
        <v>0</v>
      </c>
      <c r="AD181" s="38">
        <f>IF(AQ181="7",BH181,0)</f>
        <v>0</v>
      </c>
      <c r="AE181" s="38">
        <f>IF(AQ181="7",BI181,0)</f>
        <v>0</v>
      </c>
      <c r="AF181" s="38">
        <f>IF(AQ181="2",BH181,0)</f>
        <v>0</v>
      </c>
      <c r="AG181" s="38">
        <f>IF(AQ181="2",BI181,0)</f>
        <v>0</v>
      </c>
      <c r="AH181" s="38">
        <f>IF(AQ181="0",BJ181,0)</f>
        <v>0</v>
      </c>
      <c r="AI181" s="13" t="s">
        <v>51</v>
      </c>
      <c r="AJ181" s="38">
        <f>IF(AN181=0,L181,0)</f>
        <v>0</v>
      </c>
      <c r="AK181" s="38">
        <f>IF(AN181=12,L181,0)</f>
        <v>0</v>
      </c>
      <c r="AL181" s="38">
        <f>IF(AN181=21,L181,0)</f>
        <v>0</v>
      </c>
      <c r="AN181" s="38">
        <v>21</v>
      </c>
      <c r="AO181" s="38">
        <f>H181*0.217154472</f>
        <v>0</v>
      </c>
      <c r="AP181" s="38">
        <f>H181*(1-0.217154472)</f>
        <v>0</v>
      </c>
      <c r="AQ181" s="39" t="s">
        <v>87</v>
      </c>
      <c r="AV181" s="38">
        <f>AW181+AX181</f>
        <v>0</v>
      </c>
      <c r="AW181" s="38">
        <f>G181*AO181</f>
        <v>0</v>
      </c>
      <c r="AX181" s="38">
        <f>G181*AP181</f>
        <v>0</v>
      </c>
      <c r="AY181" s="39" t="s">
        <v>435</v>
      </c>
      <c r="AZ181" s="39" t="s">
        <v>342</v>
      </c>
      <c r="BA181" s="13" t="s">
        <v>63</v>
      </c>
      <c r="BC181" s="38">
        <f>AW181+AX181</f>
        <v>0</v>
      </c>
      <c r="BD181" s="38">
        <f>H181/(100-BE181)*100</f>
        <v>0</v>
      </c>
      <c r="BE181" s="38">
        <v>0</v>
      </c>
      <c r="BF181" s="38">
        <f>O181</f>
        <v>7.8300000000000002E-3</v>
      </c>
      <c r="BH181" s="38">
        <f>G181*AO181</f>
        <v>0</v>
      </c>
      <c r="BI181" s="38">
        <f>G181*AP181</f>
        <v>0</v>
      </c>
      <c r="BJ181" s="38">
        <f>G181*H181</f>
        <v>0</v>
      </c>
      <c r="BK181" s="38"/>
      <c r="BL181" s="38">
        <v>725</v>
      </c>
      <c r="BW181" s="38" t="str">
        <f>I181</f>
        <v>21</v>
      </c>
      <c r="BX181" s="5" t="s">
        <v>466</v>
      </c>
    </row>
    <row r="182" spans="1:76" x14ac:dyDescent="0.25">
      <c r="A182" s="2" t="s">
        <v>467</v>
      </c>
      <c r="B182" s="3" t="s">
        <v>51</v>
      </c>
      <c r="C182" s="3" t="s">
        <v>468</v>
      </c>
      <c r="D182" s="106" t="s">
        <v>469</v>
      </c>
      <c r="E182" s="107"/>
      <c r="F182" s="3" t="s">
        <v>140</v>
      </c>
      <c r="G182" s="38">
        <v>2</v>
      </c>
      <c r="H182" s="98"/>
      <c r="I182" s="39" t="s">
        <v>59</v>
      </c>
      <c r="J182" s="38">
        <f>G182*AO182</f>
        <v>0</v>
      </c>
      <c r="K182" s="38">
        <f>G182*AP182</f>
        <v>0</v>
      </c>
      <c r="L182" s="38">
        <f>G182*H182</f>
        <v>0</v>
      </c>
      <c r="M182" s="38">
        <f>L182*(1+BW182/100)</f>
        <v>0</v>
      </c>
      <c r="N182" s="38">
        <v>7.6000000000000004E-4</v>
      </c>
      <c r="O182" s="38">
        <f>G182*N182</f>
        <v>1.5200000000000001E-3</v>
      </c>
      <c r="P182" s="40" t="s">
        <v>67</v>
      </c>
      <c r="Z182" s="38">
        <f>IF(AQ182="5",BJ182,0)</f>
        <v>0</v>
      </c>
      <c r="AB182" s="38">
        <f>IF(AQ182="1",BH182,0)</f>
        <v>0</v>
      </c>
      <c r="AC182" s="38">
        <f>IF(AQ182="1",BI182,0)</f>
        <v>0</v>
      </c>
      <c r="AD182" s="38">
        <f>IF(AQ182="7",BH182,0)</f>
        <v>0</v>
      </c>
      <c r="AE182" s="38">
        <f>IF(AQ182="7",BI182,0)</f>
        <v>0</v>
      </c>
      <c r="AF182" s="38">
        <f>IF(AQ182="2",BH182,0)</f>
        <v>0</v>
      </c>
      <c r="AG182" s="38">
        <f>IF(AQ182="2",BI182,0)</f>
        <v>0</v>
      </c>
      <c r="AH182" s="38">
        <f>IF(AQ182="0",BJ182,0)</f>
        <v>0</v>
      </c>
      <c r="AI182" s="13" t="s">
        <v>51</v>
      </c>
      <c r="AJ182" s="38">
        <f>IF(AN182=0,L182,0)</f>
        <v>0</v>
      </c>
      <c r="AK182" s="38">
        <f>IF(AN182=12,L182,0)</f>
        <v>0</v>
      </c>
      <c r="AL182" s="38">
        <f>IF(AN182=21,L182,0)</f>
        <v>0</v>
      </c>
      <c r="AN182" s="38">
        <v>21</v>
      </c>
      <c r="AO182" s="38">
        <f>H182*0.869889368</f>
        <v>0</v>
      </c>
      <c r="AP182" s="38">
        <f>H182*(1-0.869889368)</f>
        <v>0</v>
      </c>
      <c r="AQ182" s="39" t="s">
        <v>87</v>
      </c>
      <c r="AV182" s="38">
        <f>AW182+AX182</f>
        <v>0</v>
      </c>
      <c r="AW182" s="38">
        <f>G182*AO182</f>
        <v>0</v>
      </c>
      <c r="AX182" s="38">
        <f>G182*AP182</f>
        <v>0</v>
      </c>
      <c r="AY182" s="39" t="s">
        <v>435</v>
      </c>
      <c r="AZ182" s="39" t="s">
        <v>342</v>
      </c>
      <c r="BA182" s="13" t="s">
        <v>63</v>
      </c>
      <c r="BC182" s="38">
        <f>AW182+AX182</f>
        <v>0</v>
      </c>
      <c r="BD182" s="38">
        <f>H182/(100-BE182)*100</f>
        <v>0</v>
      </c>
      <c r="BE182" s="38">
        <v>0</v>
      </c>
      <c r="BF182" s="38">
        <f>O182</f>
        <v>1.5200000000000001E-3</v>
      </c>
      <c r="BH182" s="38">
        <f>G182*AO182</f>
        <v>0</v>
      </c>
      <c r="BI182" s="38">
        <f>G182*AP182</f>
        <v>0</v>
      </c>
      <c r="BJ182" s="38">
        <f>G182*H182</f>
        <v>0</v>
      </c>
      <c r="BK182" s="38"/>
      <c r="BL182" s="38">
        <v>725</v>
      </c>
      <c r="BW182" s="38" t="str">
        <f>I182</f>
        <v>21</v>
      </c>
      <c r="BX182" s="5" t="s">
        <v>469</v>
      </c>
    </row>
    <row r="183" spans="1:76" x14ac:dyDescent="0.25">
      <c r="A183" s="2" t="s">
        <v>470</v>
      </c>
      <c r="B183" s="3" t="s">
        <v>51</v>
      </c>
      <c r="C183" s="3" t="s">
        <v>471</v>
      </c>
      <c r="D183" s="106" t="s">
        <v>472</v>
      </c>
      <c r="E183" s="107"/>
      <c r="F183" s="3" t="s">
        <v>140</v>
      </c>
      <c r="G183" s="38">
        <v>9</v>
      </c>
      <c r="H183" s="98"/>
      <c r="I183" s="39" t="s">
        <v>59</v>
      </c>
      <c r="J183" s="38">
        <f>G183*AO183</f>
        <v>0</v>
      </c>
      <c r="K183" s="38">
        <f>G183*AP183</f>
        <v>0</v>
      </c>
      <c r="L183" s="38">
        <f>G183*H183</f>
        <v>0</v>
      </c>
      <c r="M183" s="38">
        <f>L183*(1+BW183/100)</f>
        <v>0</v>
      </c>
      <c r="N183" s="38">
        <v>1.9869999999999999E-2</v>
      </c>
      <c r="O183" s="38">
        <f>G183*N183</f>
        <v>0.17882999999999999</v>
      </c>
      <c r="P183" s="40" t="s">
        <v>67</v>
      </c>
      <c r="Z183" s="38">
        <f>IF(AQ183="5",BJ183,0)</f>
        <v>0</v>
      </c>
      <c r="AB183" s="38">
        <f>IF(AQ183="1",BH183,0)</f>
        <v>0</v>
      </c>
      <c r="AC183" s="38">
        <f>IF(AQ183="1",BI183,0)</f>
        <v>0</v>
      </c>
      <c r="AD183" s="38">
        <f>IF(AQ183="7",BH183,0)</f>
        <v>0</v>
      </c>
      <c r="AE183" s="38">
        <f>IF(AQ183="7",BI183,0)</f>
        <v>0</v>
      </c>
      <c r="AF183" s="38">
        <f>IF(AQ183="2",BH183,0)</f>
        <v>0</v>
      </c>
      <c r="AG183" s="38">
        <f>IF(AQ183="2",BI183,0)</f>
        <v>0</v>
      </c>
      <c r="AH183" s="38">
        <f>IF(AQ183="0",BJ183,0)</f>
        <v>0</v>
      </c>
      <c r="AI183" s="13" t="s">
        <v>51</v>
      </c>
      <c r="AJ183" s="38">
        <f>IF(AN183=0,L183,0)</f>
        <v>0</v>
      </c>
      <c r="AK183" s="38">
        <f>IF(AN183=12,L183,0)</f>
        <v>0</v>
      </c>
      <c r="AL183" s="38">
        <f>IF(AN183=21,L183,0)</f>
        <v>0</v>
      </c>
      <c r="AN183" s="38">
        <v>21</v>
      </c>
      <c r="AO183" s="38">
        <f>H183*0.871904762</f>
        <v>0</v>
      </c>
      <c r="AP183" s="38">
        <f>H183*(1-0.871904762)</f>
        <v>0</v>
      </c>
      <c r="AQ183" s="39" t="s">
        <v>87</v>
      </c>
      <c r="AV183" s="38">
        <f>AW183+AX183</f>
        <v>0</v>
      </c>
      <c r="AW183" s="38">
        <f>G183*AO183</f>
        <v>0</v>
      </c>
      <c r="AX183" s="38">
        <f>G183*AP183</f>
        <v>0</v>
      </c>
      <c r="AY183" s="39" t="s">
        <v>435</v>
      </c>
      <c r="AZ183" s="39" t="s">
        <v>342</v>
      </c>
      <c r="BA183" s="13" t="s">
        <v>63</v>
      </c>
      <c r="BC183" s="38">
        <f>AW183+AX183</f>
        <v>0</v>
      </c>
      <c r="BD183" s="38">
        <f>H183/(100-BE183)*100</f>
        <v>0</v>
      </c>
      <c r="BE183" s="38">
        <v>0</v>
      </c>
      <c r="BF183" s="38">
        <f>O183</f>
        <v>0.17882999999999999</v>
      </c>
      <c r="BH183" s="38">
        <f>G183*AO183</f>
        <v>0</v>
      </c>
      <c r="BI183" s="38">
        <f>G183*AP183</f>
        <v>0</v>
      </c>
      <c r="BJ183" s="38">
        <f>G183*H183</f>
        <v>0</v>
      </c>
      <c r="BK183" s="38"/>
      <c r="BL183" s="38">
        <v>725</v>
      </c>
      <c r="BW183" s="38" t="str">
        <f>I183</f>
        <v>21</v>
      </c>
      <c r="BX183" s="5" t="s">
        <v>472</v>
      </c>
    </row>
    <row r="184" spans="1:76" ht="13.5" customHeight="1" x14ac:dyDescent="0.25">
      <c r="A184" s="41"/>
      <c r="C184" s="42" t="s">
        <v>97</v>
      </c>
      <c r="D184" s="178" t="s">
        <v>473</v>
      </c>
      <c r="E184" s="179"/>
      <c r="F184" s="179"/>
      <c r="G184" s="179"/>
      <c r="H184" s="179"/>
      <c r="I184" s="179"/>
      <c r="J184" s="179"/>
      <c r="K184" s="179"/>
      <c r="L184" s="179"/>
      <c r="M184" s="179"/>
      <c r="N184" s="179"/>
      <c r="O184" s="179"/>
      <c r="P184" s="180"/>
    </row>
    <row r="185" spans="1:76" x14ac:dyDescent="0.25">
      <c r="A185" s="2" t="s">
        <v>474</v>
      </c>
      <c r="B185" s="3" t="s">
        <v>51</v>
      </c>
      <c r="C185" s="3" t="s">
        <v>475</v>
      </c>
      <c r="D185" s="106" t="s">
        <v>476</v>
      </c>
      <c r="E185" s="107"/>
      <c r="F185" s="3" t="s">
        <v>140</v>
      </c>
      <c r="G185" s="38">
        <v>1</v>
      </c>
      <c r="H185" s="98"/>
      <c r="I185" s="39" t="s">
        <v>59</v>
      </c>
      <c r="J185" s="38">
        <f>G185*AO185</f>
        <v>0</v>
      </c>
      <c r="K185" s="38">
        <f>G185*AP185</f>
        <v>0</v>
      </c>
      <c r="L185" s="38">
        <f>G185*H185</f>
        <v>0</v>
      </c>
      <c r="M185" s="38">
        <f>L185*(1+BW185/100)</f>
        <v>0</v>
      </c>
      <c r="N185" s="38">
        <v>1.8400000000000001E-3</v>
      </c>
      <c r="O185" s="38">
        <f>G185*N185</f>
        <v>1.8400000000000001E-3</v>
      </c>
      <c r="P185" s="40" t="s">
        <v>60</v>
      </c>
      <c r="Z185" s="38">
        <f>IF(AQ185="5",BJ185,0)</f>
        <v>0</v>
      </c>
      <c r="AB185" s="38">
        <f>IF(AQ185="1",BH185,0)</f>
        <v>0</v>
      </c>
      <c r="AC185" s="38">
        <f>IF(AQ185="1",BI185,0)</f>
        <v>0</v>
      </c>
      <c r="AD185" s="38">
        <f>IF(AQ185="7",BH185,0)</f>
        <v>0</v>
      </c>
      <c r="AE185" s="38">
        <f>IF(AQ185="7",BI185,0)</f>
        <v>0</v>
      </c>
      <c r="AF185" s="38">
        <f>IF(AQ185="2",BH185,0)</f>
        <v>0</v>
      </c>
      <c r="AG185" s="38">
        <f>IF(AQ185="2",BI185,0)</f>
        <v>0</v>
      </c>
      <c r="AH185" s="38">
        <f>IF(AQ185="0",BJ185,0)</f>
        <v>0</v>
      </c>
      <c r="AI185" s="13" t="s">
        <v>51</v>
      </c>
      <c r="AJ185" s="38">
        <f>IF(AN185=0,L185,0)</f>
        <v>0</v>
      </c>
      <c r="AK185" s="38">
        <f>IF(AN185=12,L185,0)</f>
        <v>0</v>
      </c>
      <c r="AL185" s="38">
        <f>IF(AN185=21,L185,0)</f>
        <v>0</v>
      </c>
      <c r="AN185" s="38">
        <v>21</v>
      </c>
      <c r="AO185" s="38">
        <f>H185*0.443493724</f>
        <v>0</v>
      </c>
      <c r="AP185" s="38">
        <f>H185*(1-0.443493724)</f>
        <v>0</v>
      </c>
      <c r="AQ185" s="39" t="s">
        <v>87</v>
      </c>
      <c r="AV185" s="38">
        <f>AW185+AX185</f>
        <v>0</v>
      </c>
      <c r="AW185" s="38">
        <f>G185*AO185</f>
        <v>0</v>
      </c>
      <c r="AX185" s="38">
        <f>G185*AP185</f>
        <v>0</v>
      </c>
      <c r="AY185" s="39" t="s">
        <v>435</v>
      </c>
      <c r="AZ185" s="39" t="s">
        <v>342</v>
      </c>
      <c r="BA185" s="13" t="s">
        <v>63</v>
      </c>
      <c r="BC185" s="38">
        <f>AW185+AX185</f>
        <v>0</v>
      </c>
      <c r="BD185" s="38">
        <f>H185/(100-BE185)*100</f>
        <v>0</v>
      </c>
      <c r="BE185" s="38">
        <v>0</v>
      </c>
      <c r="BF185" s="38">
        <f>O185</f>
        <v>1.8400000000000001E-3</v>
      </c>
      <c r="BH185" s="38">
        <f>G185*AO185</f>
        <v>0</v>
      </c>
      <c r="BI185" s="38">
        <f>G185*AP185</f>
        <v>0</v>
      </c>
      <c r="BJ185" s="38">
        <f>G185*H185</f>
        <v>0</v>
      </c>
      <c r="BK185" s="38"/>
      <c r="BL185" s="38">
        <v>725</v>
      </c>
      <c r="BW185" s="38" t="str">
        <f>I185</f>
        <v>21</v>
      </c>
      <c r="BX185" s="5" t="s">
        <v>476</v>
      </c>
    </row>
    <row r="186" spans="1:76" x14ac:dyDescent="0.25">
      <c r="A186" s="2" t="s">
        <v>477</v>
      </c>
      <c r="B186" s="3" t="s">
        <v>51</v>
      </c>
      <c r="C186" s="3" t="s">
        <v>478</v>
      </c>
      <c r="D186" s="106" t="s">
        <v>479</v>
      </c>
      <c r="E186" s="107"/>
      <c r="F186" s="3" t="s">
        <v>58</v>
      </c>
      <c r="G186" s="38">
        <v>1</v>
      </c>
      <c r="H186" s="98"/>
      <c r="I186" s="39" t="s">
        <v>59</v>
      </c>
      <c r="J186" s="38">
        <f>G186*AO186</f>
        <v>0</v>
      </c>
      <c r="K186" s="38">
        <f>G186*AP186</f>
        <v>0</v>
      </c>
      <c r="L186" s="38">
        <f>G186*H186</f>
        <v>0</v>
      </c>
      <c r="M186" s="38">
        <f>L186*(1+BW186/100)</f>
        <v>0</v>
      </c>
      <c r="N186" s="38">
        <v>3.0929999999999999E-2</v>
      </c>
      <c r="O186" s="38">
        <f>G186*N186</f>
        <v>3.0929999999999999E-2</v>
      </c>
      <c r="P186" s="40" t="s">
        <v>67</v>
      </c>
      <c r="Z186" s="38">
        <f>IF(AQ186="5",BJ186,0)</f>
        <v>0</v>
      </c>
      <c r="AB186" s="38">
        <f>IF(AQ186="1",BH186,0)</f>
        <v>0</v>
      </c>
      <c r="AC186" s="38">
        <f>IF(AQ186="1",BI186,0)</f>
        <v>0</v>
      </c>
      <c r="AD186" s="38">
        <f>IF(AQ186="7",BH186,0)</f>
        <v>0</v>
      </c>
      <c r="AE186" s="38">
        <f>IF(AQ186="7",BI186,0)</f>
        <v>0</v>
      </c>
      <c r="AF186" s="38">
        <f>IF(AQ186="2",BH186,0)</f>
        <v>0</v>
      </c>
      <c r="AG186" s="38">
        <f>IF(AQ186="2",BI186,0)</f>
        <v>0</v>
      </c>
      <c r="AH186" s="38">
        <f>IF(AQ186="0",BJ186,0)</f>
        <v>0</v>
      </c>
      <c r="AI186" s="13" t="s">
        <v>51</v>
      </c>
      <c r="AJ186" s="38">
        <f>IF(AN186=0,L186,0)</f>
        <v>0</v>
      </c>
      <c r="AK186" s="38">
        <f>IF(AN186=12,L186,0)</f>
        <v>0</v>
      </c>
      <c r="AL186" s="38">
        <f>IF(AN186=21,L186,0)</f>
        <v>0</v>
      </c>
      <c r="AN186" s="38">
        <v>21</v>
      </c>
      <c r="AO186" s="38">
        <f>H186*0.821758495</f>
        <v>0</v>
      </c>
      <c r="AP186" s="38">
        <f>H186*(1-0.821758495)</f>
        <v>0</v>
      </c>
      <c r="AQ186" s="39" t="s">
        <v>87</v>
      </c>
      <c r="AV186" s="38">
        <f>AW186+AX186</f>
        <v>0</v>
      </c>
      <c r="AW186" s="38">
        <f>G186*AO186</f>
        <v>0</v>
      </c>
      <c r="AX186" s="38">
        <f>G186*AP186</f>
        <v>0</v>
      </c>
      <c r="AY186" s="39" t="s">
        <v>435</v>
      </c>
      <c r="AZ186" s="39" t="s">
        <v>342</v>
      </c>
      <c r="BA186" s="13" t="s">
        <v>63</v>
      </c>
      <c r="BC186" s="38">
        <f>AW186+AX186</f>
        <v>0</v>
      </c>
      <c r="BD186" s="38">
        <f>H186/(100-BE186)*100</f>
        <v>0</v>
      </c>
      <c r="BE186" s="38">
        <v>0</v>
      </c>
      <c r="BF186" s="38">
        <f>O186</f>
        <v>3.0929999999999999E-2</v>
      </c>
      <c r="BH186" s="38">
        <f>G186*AO186</f>
        <v>0</v>
      </c>
      <c r="BI186" s="38">
        <f>G186*AP186</f>
        <v>0</v>
      </c>
      <c r="BJ186" s="38">
        <f>G186*H186</f>
        <v>0</v>
      </c>
      <c r="BK186" s="38"/>
      <c r="BL186" s="38">
        <v>725</v>
      </c>
      <c r="BW186" s="38" t="str">
        <f>I186</f>
        <v>21</v>
      </c>
      <c r="BX186" s="5" t="s">
        <v>479</v>
      </c>
    </row>
    <row r="187" spans="1:76" x14ac:dyDescent="0.25">
      <c r="A187" s="2" t="s">
        <v>480</v>
      </c>
      <c r="B187" s="3" t="s">
        <v>51</v>
      </c>
      <c r="C187" s="3" t="s">
        <v>481</v>
      </c>
      <c r="D187" s="106" t="s">
        <v>482</v>
      </c>
      <c r="E187" s="107"/>
      <c r="F187" s="3" t="s">
        <v>140</v>
      </c>
      <c r="G187" s="38">
        <v>5</v>
      </c>
      <c r="H187" s="98"/>
      <c r="I187" s="39" t="s">
        <v>59</v>
      </c>
      <c r="J187" s="38">
        <f>G187*AO187</f>
        <v>0</v>
      </c>
      <c r="K187" s="38">
        <f>G187*AP187</f>
        <v>0</v>
      </c>
      <c r="L187" s="38">
        <f>G187*H187</f>
        <v>0</v>
      </c>
      <c r="M187" s="38">
        <f>L187*(1+BW187/100)</f>
        <v>0</v>
      </c>
      <c r="N187" s="38">
        <v>5.9899999999999997E-3</v>
      </c>
      <c r="O187" s="38">
        <f>G187*N187</f>
        <v>2.9949999999999997E-2</v>
      </c>
      <c r="P187" s="40" t="s">
        <v>60</v>
      </c>
      <c r="Z187" s="38">
        <f>IF(AQ187="5",BJ187,0)</f>
        <v>0</v>
      </c>
      <c r="AB187" s="38">
        <f>IF(AQ187="1",BH187,0)</f>
        <v>0</v>
      </c>
      <c r="AC187" s="38">
        <f>IF(AQ187="1",BI187,0)</f>
        <v>0</v>
      </c>
      <c r="AD187" s="38">
        <f>IF(AQ187="7",BH187,0)</f>
        <v>0</v>
      </c>
      <c r="AE187" s="38">
        <f>IF(AQ187="7",BI187,0)</f>
        <v>0</v>
      </c>
      <c r="AF187" s="38">
        <f>IF(AQ187="2",BH187,0)</f>
        <v>0</v>
      </c>
      <c r="AG187" s="38">
        <f>IF(AQ187="2",BI187,0)</f>
        <v>0</v>
      </c>
      <c r="AH187" s="38">
        <f>IF(AQ187="0",BJ187,0)</f>
        <v>0</v>
      </c>
      <c r="AI187" s="13" t="s">
        <v>51</v>
      </c>
      <c r="AJ187" s="38">
        <f>IF(AN187=0,L187,0)</f>
        <v>0</v>
      </c>
      <c r="AK187" s="38">
        <f>IF(AN187=12,L187,0)</f>
        <v>0</v>
      </c>
      <c r="AL187" s="38">
        <f>IF(AN187=21,L187,0)</f>
        <v>0</v>
      </c>
      <c r="AN187" s="38">
        <v>21</v>
      </c>
      <c r="AO187" s="38">
        <f>H187*0.682625498</f>
        <v>0</v>
      </c>
      <c r="AP187" s="38">
        <f>H187*(1-0.682625498)</f>
        <v>0</v>
      </c>
      <c r="AQ187" s="39" t="s">
        <v>87</v>
      </c>
      <c r="AV187" s="38">
        <f>AW187+AX187</f>
        <v>0</v>
      </c>
      <c r="AW187" s="38">
        <f>G187*AO187</f>
        <v>0</v>
      </c>
      <c r="AX187" s="38">
        <f>G187*AP187</f>
        <v>0</v>
      </c>
      <c r="AY187" s="39" t="s">
        <v>435</v>
      </c>
      <c r="AZ187" s="39" t="s">
        <v>342</v>
      </c>
      <c r="BA187" s="13" t="s">
        <v>63</v>
      </c>
      <c r="BC187" s="38">
        <f>AW187+AX187</f>
        <v>0</v>
      </c>
      <c r="BD187" s="38">
        <f>H187/(100-BE187)*100</f>
        <v>0</v>
      </c>
      <c r="BE187" s="38">
        <v>0</v>
      </c>
      <c r="BF187" s="38">
        <f>O187</f>
        <v>2.9949999999999997E-2</v>
      </c>
      <c r="BH187" s="38">
        <f>G187*AO187</f>
        <v>0</v>
      </c>
      <c r="BI187" s="38">
        <f>G187*AP187</f>
        <v>0</v>
      </c>
      <c r="BJ187" s="38">
        <f>G187*H187</f>
        <v>0</v>
      </c>
      <c r="BK187" s="38"/>
      <c r="BL187" s="38">
        <v>725</v>
      </c>
      <c r="BW187" s="38" t="str">
        <f>I187</f>
        <v>21</v>
      </c>
      <c r="BX187" s="5" t="s">
        <v>482</v>
      </c>
    </row>
    <row r="188" spans="1:76" x14ac:dyDescent="0.25">
      <c r="A188" s="2" t="s">
        <v>483</v>
      </c>
      <c r="B188" s="3" t="s">
        <v>51</v>
      </c>
      <c r="C188" s="3" t="s">
        <v>484</v>
      </c>
      <c r="D188" s="106" t="s">
        <v>485</v>
      </c>
      <c r="E188" s="107"/>
      <c r="F188" s="3" t="s">
        <v>58</v>
      </c>
      <c r="G188" s="38">
        <v>5</v>
      </c>
      <c r="H188" s="98"/>
      <c r="I188" s="39" t="s">
        <v>59</v>
      </c>
      <c r="J188" s="38">
        <f>G188*AO188</f>
        <v>0</v>
      </c>
      <c r="K188" s="38">
        <f>G188*AP188</f>
        <v>0</v>
      </c>
      <c r="L188" s="38">
        <f>G188*H188</f>
        <v>0</v>
      </c>
      <c r="M188" s="38">
        <f>L188*(1+BW188/100)</f>
        <v>0</v>
      </c>
      <c r="N188" s="38">
        <v>1.6E-2</v>
      </c>
      <c r="O188" s="38">
        <f>G188*N188</f>
        <v>0.08</v>
      </c>
      <c r="P188" s="40" t="s">
        <v>67</v>
      </c>
      <c r="Z188" s="38">
        <f>IF(AQ188="5",BJ188,0)</f>
        <v>0</v>
      </c>
      <c r="AB188" s="38">
        <f>IF(AQ188="1",BH188,0)</f>
        <v>0</v>
      </c>
      <c r="AC188" s="38">
        <f>IF(AQ188="1",BI188,0)</f>
        <v>0</v>
      </c>
      <c r="AD188" s="38">
        <f>IF(AQ188="7",BH188,0)</f>
        <v>0</v>
      </c>
      <c r="AE188" s="38">
        <f>IF(AQ188="7",BI188,0)</f>
        <v>0</v>
      </c>
      <c r="AF188" s="38">
        <f>IF(AQ188="2",BH188,0)</f>
        <v>0</v>
      </c>
      <c r="AG188" s="38">
        <f>IF(AQ188="2",BI188,0)</f>
        <v>0</v>
      </c>
      <c r="AH188" s="38">
        <f>IF(AQ188="0",BJ188,0)</f>
        <v>0</v>
      </c>
      <c r="AI188" s="13" t="s">
        <v>51</v>
      </c>
      <c r="AJ188" s="38">
        <f>IF(AN188=0,L188,0)</f>
        <v>0</v>
      </c>
      <c r="AK188" s="38">
        <f>IF(AN188=12,L188,0)</f>
        <v>0</v>
      </c>
      <c r="AL188" s="38">
        <f>IF(AN188=21,L188,0)</f>
        <v>0</v>
      </c>
      <c r="AN188" s="38">
        <v>21</v>
      </c>
      <c r="AO188" s="38">
        <f>H188*1</f>
        <v>0</v>
      </c>
      <c r="AP188" s="38">
        <f>H188*(1-1)</f>
        <v>0</v>
      </c>
      <c r="AQ188" s="39" t="s">
        <v>87</v>
      </c>
      <c r="AV188" s="38">
        <f>AW188+AX188</f>
        <v>0</v>
      </c>
      <c r="AW188" s="38">
        <f>G188*AO188</f>
        <v>0</v>
      </c>
      <c r="AX188" s="38">
        <f>G188*AP188</f>
        <v>0</v>
      </c>
      <c r="AY188" s="39" t="s">
        <v>435</v>
      </c>
      <c r="AZ188" s="39" t="s">
        <v>342</v>
      </c>
      <c r="BA188" s="13" t="s">
        <v>63</v>
      </c>
      <c r="BC188" s="38">
        <f>AW188+AX188</f>
        <v>0</v>
      </c>
      <c r="BD188" s="38">
        <f>H188/(100-BE188)*100</f>
        <v>0</v>
      </c>
      <c r="BE188" s="38">
        <v>0</v>
      </c>
      <c r="BF188" s="38">
        <f>O188</f>
        <v>0.08</v>
      </c>
      <c r="BH188" s="38">
        <f>G188*AO188</f>
        <v>0</v>
      </c>
      <c r="BI188" s="38">
        <f>G188*AP188</f>
        <v>0</v>
      </c>
      <c r="BJ188" s="38">
        <f>G188*H188</f>
        <v>0</v>
      </c>
      <c r="BK188" s="38"/>
      <c r="BL188" s="38">
        <v>725</v>
      </c>
      <c r="BW188" s="38" t="str">
        <f>I188</f>
        <v>21</v>
      </c>
      <c r="BX188" s="5" t="s">
        <v>485</v>
      </c>
    </row>
    <row r="189" spans="1:76" ht="178.5" x14ac:dyDescent="0.25">
      <c r="A189" s="41"/>
      <c r="C189" s="42" t="s">
        <v>78</v>
      </c>
      <c r="D189" s="178" t="s">
        <v>486</v>
      </c>
      <c r="E189" s="179"/>
      <c r="F189" s="179"/>
      <c r="G189" s="179"/>
      <c r="H189" s="179"/>
      <c r="I189" s="179"/>
      <c r="J189" s="179"/>
      <c r="K189" s="179"/>
      <c r="L189" s="179"/>
      <c r="M189" s="179"/>
      <c r="N189" s="179"/>
      <c r="O189" s="179"/>
      <c r="P189" s="180"/>
      <c r="BX189" s="43" t="s">
        <v>486</v>
      </c>
    </row>
    <row r="190" spans="1:76" x14ac:dyDescent="0.25">
      <c r="A190" s="2" t="s">
        <v>487</v>
      </c>
      <c r="B190" s="3" t="s">
        <v>51</v>
      </c>
      <c r="C190" s="3" t="s">
        <v>488</v>
      </c>
      <c r="D190" s="106" t="s">
        <v>489</v>
      </c>
      <c r="E190" s="107"/>
      <c r="F190" s="3" t="s">
        <v>58</v>
      </c>
      <c r="G190" s="38">
        <v>5</v>
      </c>
      <c r="H190" s="98"/>
      <c r="I190" s="39" t="s">
        <v>59</v>
      </c>
      <c r="J190" s="38">
        <f>G190*AO190</f>
        <v>0</v>
      </c>
      <c r="K190" s="38">
        <f>G190*AP190</f>
        <v>0</v>
      </c>
      <c r="L190" s="38">
        <f>G190*H190</f>
        <v>0</v>
      </c>
      <c r="M190" s="38">
        <f>L190*(1+BW190/100)</f>
        <v>0</v>
      </c>
      <c r="N190" s="38">
        <v>1.6E-2</v>
      </c>
      <c r="O190" s="38">
        <f>G190*N190</f>
        <v>0.08</v>
      </c>
      <c r="P190" s="40" t="s">
        <v>67</v>
      </c>
      <c r="Z190" s="38">
        <f>IF(AQ190="5",BJ190,0)</f>
        <v>0</v>
      </c>
      <c r="AB190" s="38">
        <f>IF(AQ190="1",BH190,0)</f>
        <v>0</v>
      </c>
      <c r="AC190" s="38">
        <f>IF(AQ190="1",BI190,0)</f>
        <v>0</v>
      </c>
      <c r="AD190" s="38">
        <f>IF(AQ190="7",BH190,0)</f>
        <v>0</v>
      </c>
      <c r="AE190" s="38">
        <f>IF(AQ190="7",BI190,0)</f>
        <v>0</v>
      </c>
      <c r="AF190" s="38">
        <f>IF(AQ190="2",BH190,0)</f>
        <v>0</v>
      </c>
      <c r="AG190" s="38">
        <f>IF(AQ190="2",BI190,0)</f>
        <v>0</v>
      </c>
      <c r="AH190" s="38">
        <f>IF(AQ190="0",BJ190,0)</f>
        <v>0</v>
      </c>
      <c r="AI190" s="13" t="s">
        <v>51</v>
      </c>
      <c r="AJ190" s="38">
        <f>IF(AN190=0,L190,0)</f>
        <v>0</v>
      </c>
      <c r="AK190" s="38">
        <f>IF(AN190=12,L190,0)</f>
        <v>0</v>
      </c>
      <c r="AL190" s="38">
        <f>IF(AN190=21,L190,0)</f>
        <v>0</v>
      </c>
      <c r="AN190" s="38">
        <v>21</v>
      </c>
      <c r="AO190" s="38">
        <f>H190*1</f>
        <v>0</v>
      </c>
      <c r="AP190" s="38">
        <f>H190*(1-1)</f>
        <v>0</v>
      </c>
      <c r="AQ190" s="39" t="s">
        <v>87</v>
      </c>
      <c r="AV190" s="38">
        <f>AW190+AX190</f>
        <v>0</v>
      </c>
      <c r="AW190" s="38">
        <f>G190*AO190</f>
        <v>0</v>
      </c>
      <c r="AX190" s="38">
        <f>G190*AP190</f>
        <v>0</v>
      </c>
      <c r="AY190" s="39" t="s">
        <v>435</v>
      </c>
      <c r="AZ190" s="39" t="s">
        <v>342</v>
      </c>
      <c r="BA190" s="13" t="s">
        <v>63</v>
      </c>
      <c r="BC190" s="38">
        <f>AW190+AX190</f>
        <v>0</v>
      </c>
      <c r="BD190" s="38">
        <f>H190/(100-BE190)*100</f>
        <v>0</v>
      </c>
      <c r="BE190" s="38">
        <v>0</v>
      </c>
      <c r="BF190" s="38">
        <f>O190</f>
        <v>0.08</v>
      </c>
      <c r="BH190" s="38">
        <f>G190*AO190</f>
        <v>0</v>
      </c>
      <c r="BI190" s="38">
        <f>G190*AP190</f>
        <v>0</v>
      </c>
      <c r="BJ190" s="38">
        <f>G190*H190</f>
        <v>0</v>
      </c>
      <c r="BK190" s="38"/>
      <c r="BL190" s="38">
        <v>725</v>
      </c>
      <c r="BW190" s="38" t="str">
        <f>I190</f>
        <v>21</v>
      </c>
      <c r="BX190" s="5" t="s">
        <v>489</v>
      </c>
    </row>
    <row r="191" spans="1:76" ht="25.5" x14ac:dyDescent="0.25">
      <c r="A191" s="41"/>
      <c r="C191" s="42" t="s">
        <v>78</v>
      </c>
      <c r="D191" s="178" t="s">
        <v>490</v>
      </c>
      <c r="E191" s="179"/>
      <c r="F191" s="179"/>
      <c r="G191" s="179"/>
      <c r="H191" s="179"/>
      <c r="I191" s="179"/>
      <c r="J191" s="179"/>
      <c r="K191" s="179"/>
      <c r="L191" s="179"/>
      <c r="M191" s="179"/>
      <c r="N191" s="179"/>
      <c r="O191" s="179"/>
      <c r="P191" s="180"/>
      <c r="BX191" s="43" t="s">
        <v>490</v>
      </c>
    </row>
    <row r="192" spans="1:76" x14ac:dyDescent="0.25">
      <c r="A192" s="2" t="s">
        <v>491</v>
      </c>
      <c r="B192" s="3" t="s">
        <v>51</v>
      </c>
      <c r="C192" s="3" t="s">
        <v>492</v>
      </c>
      <c r="D192" s="106" t="s">
        <v>493</v>
      </c>
      <c r="E192" s="107"/>
      <c r="F192" s="3" t="s">
        <v>83</v>
      </c>
      <c r="G192" s="38">
        <v>40.477499999999999</v>
      </c>
      <c r="H192" s="98"/>
      <c r="I192" s="39" t="s">
        <v>59</v>
      </c>
      <c r="J192" s="38">
        <f>G192*AO192</f>
        <v>0</v>
      </c>
      <c r="K192" s="38">
        <f>G192*AP192</f>
        <v>0</v>
      </c>
      <c r="L192" s="38">
        <f>G192*H192</f>
        <v>0</v>
      </c>
      <c r="M192" s="38">
        <f>L192*(1+BW192/100)</f>
        <v>0</v>
      </c>
      <c r="N192" s="38">
        <v>4.2399999999999998E-3</v>
      </c>
      <c r="O192" s="38">
        <f>G192*N192</f>
        <v>0.17162459999999999</v>
      </c>
      <c r="P192" s="40" t="s">
        <v>67</v>
      </c>
      <c r="Z192" s="38">
        <f>IF(AQ192="5",BJ192,0)</f>
        <v>0</v>
      </c>
      <c r="AB192" s="38">
        <f>IF(AQ192="1",BH192,0)</f>
        <v>0</v>
      </c>
      <c r="AC192" s="38">
        <f>IF(AQ192="1",BI192,0)</f>
        <v>0</v>
      </c>
      <c r="AD192" s="38">
        <f>IF(AQ192="7",BH192,0)</f>
        <v>0</v>
      </c>
      <c r="AE192" s="38">
        <f>IF(AQ192="7",BI192,0)</f>
        <v>0</v>
      </c>
      <c r="AF192" s="38">
        <f>IF(AQ192="2",BH192,0)</f>
        <v>0</v>
      </c>
      <c r="AG192" s="38">
        <f>IF(AQ192="2",BI192,0)</f>
        <v>0</v>
      </c>
      <c r="AH192" s="38">
        <f>IF(AQ192="0",BJ192,0)</f>
        <v>0</v>
      </c>
      <c r="AI192" s="13" t="s">
        <v>51</v>
      </c>
      <c r="AJ192" s="38">
        <f>IF(AN192=0,L192,0)</f>
        <v>0</v>
      </c>
      <c r="AK192" s="38">
        <f>IF(AN192=12,L192,0)</f>
        <v>0</v>
      </c>
      <c r="AL192" s="38">
        <f>IF(AN192=21,L192,0)</f>
        <v>0</v>
      </c>
      <c r="AN192" s="38">
        <v>21</v>
      </c>
      <c r="AO192" s="38">
        <f>H192*0.75</f>
        <v>0</v>
      </c>
      <c r="AP192" s="38">
        <f>H192*(1-0.75)</f>
        <v>0</v>
      </c>
      <c r="AQ192" s="39" t="s">
        <v>87</v>
      </c>
      <c r="AV192" s="38">
        <f>AW192+AX192</f>
        <v>0</v>
      </c>
      <c r="AW192" s="38">
        <f>G192*AO192</f>
        <v>0</v>
      </c>
      <c r="AX192" s="38">
        <f>G192*AP192</f>
        <v>0</v>
      </c>
      <c r="AY192" s="39" t="s">
        <v>435</v>
      </c>
      <c r="AZ192" s="39" t="s">
        <v>342</v>
      </c>
      <c r="BA192" s="13" t="s">
        <v>63</v>
      </c>
      <c r="BC192" s="38">
        <f>AW192+AX192</f>
        <v>0</v>
      </c>
      <c r="BD192" s="38">
        <f>H192/(100-BE192)*100</f>
        <v>0</v>
      </c>
      <c r="BE192" s="38">
        <v>0</v>
      </c>
      <c r="BF192" s="38">
        <f>O192</f>
        <v>0.17162459999999999</v>
      </c>
      <c r="BH192" s="38">
        <f>G192*AO192</f>
        <v>0</v>
      </c>
      <c r="BI192" s="38">
        <f>G192*AP192</f>
        <v>0</v>
      </c>
      <c r="BJ192" s="38">
        <f>G192*H192</f>
        <v>0</v>
      </c>
      <c r="BK192" s="38"/>
      <c r="BL192" s="38">
        <v>725</v>
      </c>
      <c r="BW192" s="38" t="str">
        <f>I192</f>
        <v>21</v>
      </c>
      <c r="BX192" s="5" t="s">
        <v>493</v>
      </c>
    </row>
    <row r="193" spans="1:76" ht="27" customHeight="1" x14ac:dyDescent="0.25">
      <c r="A193" s="41"/>
      <c r="C193" s="42" t="s">
        <v>97</v>
      </c>
      <c r="D193" s="178" t="s">
        <v>494</v>
      </c>
      <c r="E193" s="179"/>
      <c r="F193" s="179"/>
      <c r="G193" s="179"/>
      <c r="H193" s="179"/>
      <c r="I193" s="179"/>
      <c r="J193" s="179"/>
      <c r="K193" s="179"/>
      <c r="L193" s="179"/>
      <c r="M193" s="179"/>
      <c r="N193" s="179"/>
      <c r="O193" s="179"/>
      <c r="P193" s="180"/>
    </row>
    <row r="194" spans="1:76" x14ac:dyDescent="0.25">
      <c r="A194" s="33" t="s">
        <v>50</v>
      </c>
      <c r="B194" s="34" t="s">
        <v>51</v>
      </c>
      <c r="C194" s="34" t="s">
        <v>495</v>
      </c>
      <c r="D194" s="174" t="s">
        <v>496</v>
      </c>
      <c r="E194" s="175"/>
      <c r="F194" s="36" t="s">
        <v>4</v>
      </c>
      <c r="G194" s="36" t="s">
        <v>4</v>
      </c>
      <c r="H194" s="36" t="s">
        <v>4</v>
      </c>
      <c r="I194" s="36" t="s">
        <v>4</v>
      </c>
      <c r="J194" s="1">
        <f>SUM(J195:J195)</f>
        <v>0</v>
      </c>
      <c r="K194" s="1">
        <f>SUM(K195:K195)</f>
        <v>0</v>
      </c>
      <c r="L194" s="1">
        <f>SUM(L195:L195)</f>
        <v>0</v>
      </c>
      <c r="M194" s="1">
        <f>SUM(M195:M195)</f>
        <v>0</v>
      </c>
      <c r="N194" s="13" t="s">
        <v>50</v>
      </c>
      <c r="O194" s="1">
        <f>SUM(O195:O195)</f>
        <v>0.11673</v>
      </c>
      <c r="P194" s="37" t="s">
        <v>50</v>
      </c>
      <c r="AI194" s="13" t="s">
        <v>51</v>
      </c>
      <c r="AS194" s="1">
        <f>SUM(AJ195:AJ195)</f>
        <v>0</v>
      </c>
      <c r="AT194" s="1">
        <f>SUM(AK195:AK195)</f>
        <v>0</v>
      </c>
      <c r="AU194" s="1">
        <f>SUM(AL195:AL195)</f>
        <v>0</v>
      </c>
    </row>
    <row r="195" spans="1:76" x14ac:dyDescent="0.25">
      <c r="A195" s="2" t="s">
        <v>497</v>
      </c>
      <c r="B195" s="3" t="s">
        <v>51</v>
      </c>
      <c r="C195" s="3" t="s">
        <v>498</v>
      </c>
      <c r="D195" s="106" t="s">
        <v>499</v>
      </c>
      <c r="E195" s="107"/>
      <c r="F195" s="3" t="s">
        <v>140</v>
      </c>
      <c r="G195" s="38">
        <v>9</v>
      </c>
      <c r="H195" s="98"/>
      <c r="I195" s="39" t="s">
        <v>59</v>
      </c>
      <c r="J195" s="38">
        <f>G195*AO195</f>
        <v>0</v>
      </c>
      <c r="K195" s="38">
        <f>G195*AP195</f>
        <v>0</v>
      </c>
      <c r="L195" s="38">
        <f>G195*H195</f>
        <v>0</v>
      </c>
      <c r="M195" s="38">
        <f>L195*(1+BW195/100)</f>
        <v>0</v>
      </c>
      <c r="N195" s="38">
        <v>1.2970000000000001E-2</v>
      </c>
      <c r="O195" s="38">
        <f>G195*N195</f>
        <v>0.11673</v>
      </c>
      <c r="P195" s="40" t="s">
        <v>60</v>
      </c>
      <c r="Z195" s="38">
        <f>IF(AQ195="5",BJ195,0)</f>
        <v>0</v>
      </c>
      <c r="AB195" s="38">
        <f>IF(AQ195="1",BH195,0)</f>
        <v>0</v>
      </c>
      <c r="AC195" s="38">
        <f>IF(AQ195="1",BI195,0)</f>
        <v>0</v>
      </c>
      <c r="AD195" s="38">
        <f>IF(AQ195="7",BH195,0)</f>
        <v>0</v>
      </c>
      <c r="AE195" s="38">
        <f>IF(AQ195="7",BI195,0)</f>
        <v>0</v>
      </c>
      <c r="AF195" s="38">
        <f>IF(AQ195="2",BH195,0)</f>
        <v>0</v>
      </c>
      <c r="AG195" s="38">
        <f>IF(AQ195="2",BI195,0)</f>
        <v>0</v>
      </c>
      <c r="AH195" s="38">
        <f>IF(AQ195="0",BJ195,0)</f>
        <v>0</v>
      </c>
      <c r="AI195" s="13" t="s">
        <v>51</v>
      </c>
      <c r="AJ195" s="38">
        <f>IF(AN195=0,L195,0)</f>
        <v>0</v>
      </c>
      <c r="AK195" s="38">
        <f>IF(AN195=12,L195,0)</f>
        <v>0</v>
      </c>
      <c r="AL195" s="38">
        <f>IF(AN195=21,L195,0)</f>
        <v>0</v>
      </c>
      <c r="AN195" s="38">
        <v>21</v>
      </c>
      <c r="AO195" s="38">
        <f>H195*0.883307522</f>
        <v>0</v>
      </c>
      <c r="AP195" s="38">
        <f>H195*(1-0.883307522)</f>
        <v>0</v>
      </c>
      <c r="AQ195" s="39" t="s">
        <v>87</v>
      </c>
      <c r="AV195" s="38">
        <f>AW195+AX195</f>
        <v>0</v>
      </c>
      <c r="AW195" s="38">
        <f>G195*AO195</f>
        <v>0</v>
      </c>
      <c r="AX195" s="38">
        <f>G195*AP195</f>
        <v>0</v>
      </c>
      <c r="AY195" s="39" t="s">
        <v>500</v>
      </c>
      <c r="AZ195" s="39" t="s">
        <v>342</v>
      </c>
      <c r="BA195" s="13" t="s">
        <v>63</v>
      </c>
      <c r="BC195" s="38">
        <f>AW195+AX195</f>
        <v>0</v>
      </c>
      <c r="BD195" s="38">
        <f>H195/(100-BE195)*100</f>
        <v>0</v>
      </c>
      <c r="BE195" s="38">
        <v>0</v>
      </c>
      <c r="BF195" s="38">
        <f>O195</f>
        <v>0.11673</v>
      </c>
      <c r="BH195" s="38">
        <f>G195*AO195</f>
        <v>0</v>
      </c>
      <c r="BI195" s="38">
        <f>G195*AP195</f>
        <v>0</v>
      </c>
      <c r="BJ195" s="38">
        <f>G195*H195</f>
        <v>0</v>
      </c>
      <c r="BK195" s="38"/>
      <c r="BL195" s="38">
        <v>726</v>
      </c>
      <c r="BW195" s="38" t="str">
        <f>I195</f>
        <v>21</v>
      </c>
      <c r="BX195" s="5" t="s">
        <v>499</v>
      </c>
    </row>
    <row r="196" spans="1:76" x14ac:dyDescent="0.25">
      <c r="A196" s="33" t="s">
        <v>50</v>
      </c>
      <c r="B196" s="34" t="s">
        <v>51</v>
      </c>
      <c r="C196" s="34" t="s">
        <v>501</v>
      </c>
      <c r="D196" s="174" t="s">
        <v>502</v>
      </c>
      <c r="E196" s="175"/>
      <c r="F196" s="36" t="s">
        <v>4</v>
      </c>
      <c r="G196" s="36" t="s">
        <v>4</v>
      </c>
      <c r="H196" s="36" t="s">
        <v>4</v>
      </c>
      <c r="I196" s="36" t="s">
        <v>4</v>
      </c>
      <c r="J196" s="1">
        <f>SUM(J197:J197)</f>
        <v>0</v>
      </c>
      <c r="K196" s="1">
        <f>SUM(K197:K197)</f>
        <v>0</v>
      </c>
      <c r="L196" s="1">
        <f>SUM(L197:L197)</f>
        <v>0</v>
      </c>
      <c r="M196" s="1">
        <f>SUM(M197:M197)</f>
        <v>0</v>
      </c>
      <c r="N196" s="13" t="s">
        <v>50</v>
      </c>
      <c r="O196" s="1">
        <f>SUM(O197:O197)</f>
        <v>0</v>
      </c>
      <c r="P196" s="37" t="s">
        <v>50</v>
      </c>
      <c r="AI196" s="13" t="s">
        <v>51</v>
      </c>
      <c r="AS196" s="1">
        <f>SUM(AJ197:AJ197)</f>
        <v>0</v>
      </c>
      <c r="AT196" s="1">
        <f>SUM(AK197:AK197)</f>
        <v>0</v>
      </c>
      <c r="AU196" s="1">
        <f>SUM(AL197:AL197)</f>
        <v>0</v>
      </c>
    </row>
    <row r="197" spans="1:76" x14ac:dyDescent="0.25">
      <c r="A197" s="2" t="s">
        <v>503</v>
      </c>
      <c r="B197" s="3" t="s">
        <v>51</v>
      </c>
      <c r="C197" s="3" t="s">
        <v>127</v>
      </c>
      <c r="D197" s="106" t="s">
        <v>504</v>
      </c>
      <c r="E197" s="107"/>
      <c r="F197" s="3" t="s">
        <v>140</v>
      </c>
      <c r="G197" s="38">
        <v>1</v>
      </c>
      <c r="H197" s="98"/>
      <c r="I197" s="39" t="s">
        <v>59</v>
      </c>
      <c r="J197" s="38">
        <f>G197*AO197</f>
        <v>0</v>
      </c>
      <c r="K197" s="38">
        <f>G197*AP197</f>
        <v>0</v>
      </c>
      <c r="L197" s="38">
        <f>G197*H197</f>
        <v>0</v>
      </c>
      <c r="M197" s="38">
        <f>L197*(1+BW197/100)</f>
        <v>0</v>
      </c>
      <c r="N197" s="38">
        <v>0</v>
      </c>
      <c r="O197" s="38">
        <f>G197*N197</f>
        <v>0</v>
      </c>
      <c r="P197" s="40" t="s">
        <v>67</v>
      </c>
      <c r="Z197" s="38">
        <f>IF(AQ197="5",BJ197,0)</f>
        <v>0</v>
      </c>
      <c r="AB197" s="38">
        <f>IF(AQ197="1",BH197,0)</f>
        <v>0</v>
      </c>
      <c r="AC197" s="38">
        <f>IF(AQ197="1",BI197,0)</f>
        <v>0</v>
      </c>
      <c r="AD197" s="38">
        <f>IF(AQ197="7",BH197,0)</f>
        <v>0</v>
      </c>
      <c r="AE197" s="38">
        <f>IF(AQ197="7",BI197,0)</f>
        <v>0</v>
      </c>
      <c r="AF197" s="38">
        <f>IF(AQ197="2",BH197,0)</f>
        <v>0</v>
      </c>
      <c r="AG197" s="38">
        <f>IF(AQ197="2",BI197,0)</f>
        <v>0</v>
      </c>
      <c r="AH197" s="38">
        <f>IF(AQ197="0",BJ197,0)</f>
        <v>0</v>
      </c>
      <c r="AI197" s="13" t="s">
        <v>51</v>
      </c>
      <c r="AJ197" s="38">
        <f>IF(AN197=0,L197,0)</f>
        <v>0</v>
      </c>
      <c r="AK197" s="38">
        <f>IF(AN197=12,L197,0)</f>
        <v>0</v>
      </c>
      <c r="AL197" s="38">
        <f>IF(AN197=21,L197,0)</f>
        <v>0</v>
      </c>
      <c r="AN197" s="38">
        <v>21</v>
      </c>
      <c r="AO197" s="38">
        <f>H197*0</f>
        <v>0</v>
      </c>
      <c r="AP197" s="38">
        <f>H197*(1-0)</f>
        <v>0</v>
      </c>
      <c r="AQ197" s="39" t="s">
        <v>87</v>
      </c>
      <c r="AV197" s="38">
        <f>AW197+AX197</f>
        <v>0</v>
      </c>
      <c r="AW197" s="38">
        <f>G197*AO197</f>
        <v>0</v>
      </c>
      <c r="AX197" s="38">
        <f>G197*AP197</f>
        <v>0</v>
      </c>
      <c r="AY197" s="39" t="s">
        <v>505</v>
      </c>
      <c r="AZ197" s="39" t="s">
        <v>342</v>
      </c>
      <c r="BA197" s="13" t="s">
        <v>63</v>
      </c>
      <c r="BC197" s="38">
        <f>AW197+AX197</f>
        <v>0</v>
      </c>
      <c r="BD197" s="38">
        <f>H197/(100-BE197)*100</f>
        <v>0</v>
      </c>
      <c r="BE197" s="38">
        <v>0</v>
      </c>
      <c r="BF197" s="38">
        <f>O197</f>
        <v>0</v>
      </c>
      <c r="BH197" s="38">
        <f>G197*AO197</f>
        <v>0</v>
      </c>
      <c r="BI197" s="38">
        <f>G197*AP197</f>
        <v>0</v>
      </c>
      <c r="BJ197" s="38">
        <f>G197*H197</f>
        <v>0</v>
      </c>
      <c r="BK197" s="38"/>
      <c r="BL197" s="38">
        <v>728</v>
      </c>
      <c r="BW197" s="38" t="str">
        <f>I197</f>
        <v>21</v>
      </c>
      <c r="BX197" s="5" t="s">
        <v>504</v>
      </c>
    </row>
    <row r="198" spans="1:76" x14ac:dyDescent="0.25">
      <c r="A198" s="33" t="s">
        <v>50</v>
      </c>
      <c r="B198" s="34" t="s">
        <v>51</v>
      </c>
      <c r="C198" s="34" t="s">
        <v>506</v>
      </c>
      <c r="D198" s="174" t="s">
        <v>507</v>
      </c>
      <c r="E198" s="175"/>
      <c r="F198" s="36" t="s">
        <v>4</v>
      </c>
      <c r="G198" s="36" t="s">
        <v>4</v>
      </c>
      <c r="H198" s="36" t="s">
        <v>4</v>
      </c>
      <c r="I198" s="36" t="s">
        <v>4</v>
      </c>
      <c r="J198" s="1">
        <f>SUM(J199:J206)</f>
        <v>0</v>
      </c>
      <c r="K198" s="1">
        <f>SUM(K199:K206)</f>
        <v>0</v>
      </c>
      <c r="L198" s="1">
        <f>SUM(L199:L206)</f>
        <v>0</v>
      </c>
      <c r="M198" s="1">
        <f>SUM(M199:M206)</f>
        <v>0</v>
      </c>
      <c r="N198" s="13" t="s">
        <v>50</v>
      </c>
      <c r="O198" s="1">
        <f>SUM(O199:O206)</f>
        <v>0.19931199999999999</v>
      </c>
      <c r="P198" s="37" t="s">
        <v>50</v>
      </c>
      <c r="AI198" s="13" t="s">
        <v>51</v>
      </c>
      <c r="AS198" s="1">
        <f>SUM(AJ199:AJ206)</f>
        <v>0</v>
      </c>
      <c r="AT198" s="1">
        <f>SUM(AK199:AK206)</f>
        <v>0</v>
      </c>
      <c r="AU198" s="1">
        <f>SUM(AL199:AL206)</f>
        <v>0</v>
      </c>
    </row>
    <row r="199" spans="1:76" x14ac:dyDescent="0.25">
      <c r="A199" s="2" t="s">
        <v>508</v>
      </c>
      <c r="B199" s="3" t="s">
        <v>51</v>
      </c>
      <c r="C199" s="3" t="s">
        <v>509</v>
      </c>
      <c r="D199" s="106" t="s">
        <v>510</v>
      </c>
      <c r="E199" s="107"/>
      <c r="F199" s="3" t="s">
        <v>108</v>
      </c>
      <c r="G199" s="38">
        <v>4.8</v>
      </c>
      <c r="H199" s="98"/>
      <c r="I199" s="39" t="s">
        <v>59</v>
      </c>
      <c r="J199" s="38">
        <f>G199*AO199</f>
        <v>0</v>
      </c>
      <c r="K199" s="38">
        <f>G199*AP199</f>
        <v>0</v>
      </c>
      <c r="L199" s="38">
        <f>G199*H199</f>
        <v>0</v>
      </c>
      <c r="M199" s="38">
        <f>L199*(1+BW199/100)</f>
        <v>0</v>
      </c>
      <c r="N199" s="38">
        <v>5.9300000000000004E-3</v>
      </c>
      <c r="O199" s="38">
        <f>G199*N199</f>
        <v>2.8464E-2</v>
      </c>
      <c r="P199" s="40" t="s">
        <v>60</v>
      </c>
      <c r="Z199" s="38">
        <f>IF(AQ199="5",BJ199,0)</f>
        <v>0</v>
      </c>
      <c r="AB199" s="38">
        <f>IF(AQ199="1",BH199,0)</f>
        <v>0</v>
      </c>
      <c r="AC199" s="38">
        <f>IF(AQ199="1",BI199,0)</f>
        <v>0</v>
      </c>
      <c r="AD199" s="38">
        <f>IF(AQ199="7",BH199,0)</f>
        <v>0</v>
      </c>
      <c r="AE199" s="38">
        <f>IF(AQ199="7",BI199,0)</f>
        <v>0</v>
      </c>
      <c r="AF199" s="38">
        <f>IF(AQ199="2",BH199,0)</f>
        <v>0</v>
      </c>
      <c r="AG199" s="38">
        <f>IF(AQ199="2",BI199,0)</f>
        <v>0</v>
      </c>
      <c r="AH199" s="38">
        <f>IF(AQ199="0",BJ199,0)</f>
        <v>0</v>
      </c>
      <c r="AI199" s="13" t="s">
        <v>51</v>
      </c>
      <c r="AJ199" s="38">
        <f>IF(AN199=0,L199,0)</f>
        <v>0</v>
      </c>
      <c r="AK199" s="38">
        <f>IF(AN199=12,L199,0)</f>
        <v>0</v>
      </c>
      <c r="AL199" s="38">
        <f>IF(AN199=21,L199,0)</f>
        <v>0</v>
      </c>
      <c r="AN199" s="38">
        <v>21</v>
      </c>
      <c r="AO199" s="38">
        <f>H199*0.167449139</f>
        <v>0</v>
      </c>
      <c r="AP199" s="38">
        <f>H199*(1-0.167449139)</f>
        <v>0</v>
      </c>
      <c r="AQ199" s="39" t="s">
        <v>87</v>
      </c>
      <c r="AV199" s="38">
        <f>AW199+AX199</f>
        <v>0</v>
      </c>
      <c r="AW199" s="38">
        <f>G199*AO199</f>
        <v>0</v>
      </c>
      <c r="AX199" s="38">
        <f>G199*AP199</f>
        <v>0</v>
      </c>
      <c r="AY199" s="39" t="s">
        <v>511</v>
      </c>
      <c r="AZ199" s="39" t="s">
        <v>512</v>
      </c>
      <c r="BA199" s="13" t="s">
        <v>63</v>
      </c>
      <c r="BC199" s="38">
        <f>AW199+AX199</f>
        <v>0</v>
      </c>
      <c r="BD199" s="38">
        <f>H199/(100-BE199)*100</f>
        <v>0</v>
      </c>
      <c r="BE199" s="38">
        <v>0</v>
      </c>
      <c r="BF199" s="38">
        <f>O199</f>
        <v>2.8464E-2</v>
      </c>
      <c r="BH199" s="38">
        <f>G199*AO199</f>
        <v>0</v>
      </c>
      <c r="BI199" s="38">
        <f>G199*AP199</f>
        <v>0</v>
      </c>
      <c r="BJ199" s="38">
        <f>G199*H199</f>
        <v>0</v>
      </c>
      <c r="BK199" s="38"/>
      <c r="BL199" s="38">
        <v>735</v>
      </c>
      <c r="BW199" s="38" t="str">
        <f>I199</f>
        <v>21</v>
      </c>
      <c r="BX199" s="5" t="s">
        <v>510</v>
      </c>
    </row>
    <row r="200" spans="1:76" x14ac:dyDescent="0.25">
      <c r="A200" s="2" t="s">
        <v>513</v>
      </c>
      <c r="B200" s="3" t="s">
        <v>51</v>
      </c>
      <c r="C200" s="3" t="s">
        <v>514</v>
      </c>
      <c r="D200" s="106" t="s">
        <v>515</v>
      </c>
      <c r="E200" s="107"/>
      <c r="F200" s="3" t="s">
        <v>108</v>
      </c>
      <c r="G200" s="38">
        <v>4.8</v>
      </c>
      <c r="H200" s="98"/>
      <c r="I200" s="39" t="s">
        <v>59</v>
      </c>
      <c r="J200" s="38">
        <f>G200*AO200</f>
        <v>0</v>
      </c>
      <c r="K200" s="38">
        <f>G200*AP200</f>
        <v>0</v>
      </c>
      <c r="L200" s="38">
        <f>G200*H200</f>
        <v>0</v>
      </c>
      <c r="M200" s="38">
        <f>L200*(1+BW200/100)</f>
        <v>0</v>
      </c>
      <c r="N200" s="38">
        <v>7.6000000000000004E-4</v>
      </c>
      <c r="O200" s="38">
        <f>G200*N200</f>
        <v>3.6480000000000002E-3</v>
      </c>
      <c r="P200" s="40" t="s">
        <v>60</v>
      </c>
      <c r="Z200" s="38">
        <f>IF(AQ200="5",BJ200,0)</f>
        <v>0</v>
      </c>
      <c r="AB200" s="38">
        <f>IF(AQ200="1",BH200,0)</f>
        <v>0</v>
      </c>
      <c r="AC200" s="38">
        <f>IF(AQ200="1",BI200,0)</f>
        <v>0</v>
      </c>
      <c r="AD200" s="38">
        <f>IF(AQ200="7",BH200,0)</f>
        <v>0</v>
      </c>
      <c r="AE200" s="38">
        <f>IF(AQ200="7",BI200,0)</f>
        <v>0</v>
      </c>
      <c r="AF200" s="38">
        <f>IF(AQ200="2",BH200,0)</f>
        <v>0</v>
      </c>
      <c r="AG200" s="38">
        <f>IF(AQ200="2",BI200,0)</f>
        <v>0</v>
      </c>
      <c r="AH200" s="38">
        <f>IF(AQ200="0",BJ200,0)</f>
        <v>0</v>
      </c>
      <c r="AI200" s="13" t="s">
        <v>51</v>
      </c>
      <c r="AJ200" s="38">
        <f>IF(AN200=0,L200,0)</f>
        <v>0</v>
      </c>
      <c r="AK200" s="38">
        <f>IF(AN200=12,L200,0)</f>
        <v>0</v>
      </c>
      <c r="AL200" s="38">
        <f>IF(AN200=21,L200,0)</f>
        <v>0</v>
      </c>
      <c r="AN200" s="38">
        <v>21</v>
      </c>
      <c r="AO200" s="38">
        <f>H200*0.58063126</f>
        <v>0</v>
      </c>
      <c r="AP200" s="38">
        <f>H200*(1-0.58063126)</f>
        <v>0</v>
      </c>
      <c r="AQ200" s="39" t="s">
        <v>87</v>
      </c>
      <c r="AV200" s="38">
        <f>AW200+AX200</f>
        <v>0</v>
      </c>
      <c r="AW200" s="38">
        <f>G200*AO200</f>
        <v>0</v>
      </c>
      <c r="AX200" s="38">
        <f>G200*AP200</f>
        <v>0</v>
      </c>
      <c r="AY200" s="39" t="s">
        <v>511</v>
      </c>
      <c r="AZ200" s="39" t="s">
        <v>512</v>
      </c>
      <c r="BA200" s="13" t="s">
        <v>63</v>
      </c>
      <c r="BC200" s="38">
        <f>AW200+AX200</f>
        <v>0</v>
      </c>
      <c r="BD200" s="38">
        <f>H200/(100-BE200)*100</f>
        <v>0</v>
      </c>
      <c r="BE200" s="38">
        <v>0</v>
      </c>
      <c r="BF200" s="38">
        <f>O200</f>
        <v>3.6480000000000002E-3</v>
      </c>
      <c r="BH200" s="38">
        <f>G200*AO200</f>
        <v>0</v>
      </c>
      <c r="BI200" s="38">
        <f>G200*AP200</f>
        <v>0</v>
      </c>
      <c r="BJ200" s="38">
        <f>G200*H200</f>
        <v>0</v>
      </c>
      <c r="BK200" s="38"/>
      <c r="BL200" s="38">
        <v>735</v>
      </c>
      <c r="BW200" s="38" t="str">
        <f>I200</f>
        <v>21</v>
      </c>
      <c r="BX200" s="5" t="s">
        <v>515</v>
      </c>
    </row>
    <row r="201" spans="1:76" x14ac:dyDescent="0.25">
      <c r="A201" s="2" t="s">
        <v>516</v>
      </c>
      <c r="B201" s="3" t="s">
        <v>51</v>
      </c>
      <c r="C201" s="3" t="s">
        <v>517</v>
      </c>
      <c r="D201" s="106" t="s">
        <v>518</v>
      </c>
      <c r="E201" s="107"/>
      <c r="F201" s="3" t="s">
        <v>58</v>
      </c>
      <c r="G201" s="38">
        <v>12</v>
      </c>
      <c r="H201" s="98"/>
      <c r="I201" s="39" t="s">
        <v>59</v>
      </c>
      <c r="J201" s="38">
        <f>G201*AO201</f>
        <v>0</v>
      </c>
      <c r="K201" s="38">
        <f>G201*AP201</f>
        <v>0</v>
      </c>
      <c r="L201" s="38">
        <f>G201*H201</f>
        <v>0</v>
      </c>
      <c r="M201" s="38">
        <f>L201*(1+BW201/100)</f>
        <v>0</v>
      </c>
      <c r="N201" s="38">
        <v>0</v>
      </c>
      <c r="O201" s="38">
        <f>G201*N201</f>
        <v>0</v>
      </c>
      <c r="P201" s="40" t="s">
        <v>60</v>
      </c>
      <c r="Z201" s="38">
        <f>IF(AQ201="5",BJ201,0)</f>
        <v>0</v>
      </c>
      <c r="AB201" s="38">
        <f>IF(AQ201="1",BH201,0)</f>
        <v>0</v>
      </c>
      <c r="AC201" s="38">
        <f>IF(AQ201="1",BI201,0)</f>
        <v>0</v>
      </c>
      <c r="AD201" s="38">
        <f>IF(AQ201="7",BH201,0)</f>
        <v>0</v>
      </c>
      <c r="AE201" s="38">
        <f>IF(AQ201="7",BI201,0)</f>
        <v>0</v>
      </c>
      <c r="AF201" s="38">
        <f>IF(AQ201="2",BH201,0)</f>
        <v>0</v>
      </c>
      <c r="AG201" s="38">
        <f>IF(AQ201="2",BI201,0)</f>
        <v>0</v>
      </c>
      <c r="AH201" s="38">
        <f>IF(AQ201="0",BJ201,0)</f>
        <v>0</v>
      </c>
      <c r="AI201" s="13" t="s">
        <v>51</v>
      </c>
      <c r="AJ201" s="38">
        <f>IF(AN201=0,L201,0)</f>
        <v>0</v>
      </c>
      <c r="AK201" s="38">
        <f>IF(AN201=12,L201,0)</f>
        <v>0</v>
      </c>
      <c r="AL201" s="38">
        <f>IF(AN201=21,L201,0)</f>
        <v>0</v>
      </c>
      <c r="AN201" s="38">
        <v>21</v>
      </c>
      <c r="AO201" s="38">
        <f>H201*0</f>
        <v>0</v>
      </c>
      <c r="AP201" s="38">
        <f>H201*(1-0)</f>
        <v>0</v>
      </c>
      <c r="AQ201" s="39" t="s">
        <v>87</v>
      </c>
      <c r="AV201" s="38">
        <f>AW201+AX201</f>
        <v>0</v>
      </c>
      <c r="AW201" s="38">
        <f>G201*AO201</f>
        <v>0</v>
      </c>
      <c r="AX201" s="38">
        <f>G201*AP201</f>
        <v>0</v>
      </c>
      <c r="AY201" s="39" t="s">
        <v>511</v>
      </c>
      <c r="AZ201" s="39" t="s">
        <v>512</v>
      </c>
      <c r="BA201" s="13" t="s">
        <v>63</v>
      </c>
      <c r="BC201" s="38">
        <f>AW201+AX201</f>
        <v>0</v>
      </c>
      <c r="BD201" s="38">
        <f>H201/(100-BE201)*100</f>
        <v>0</v>
      </c>
      <c r="BE201" s="38">
        <v>0</v>
      </c>
      <c r="BF201" s="38">
        <f>O201</f>
        <v>0</v>
      </c>
      <c r="BH201" s="38">
        <f>G201*AO201</f>
        <v>0</v>
      </c>
      <c r="BI201" s="38">
        <f>G201*AP201</f>
        <v>0</v>
      </c>
      <c r="BJ201" s="38">
        <f>G201*H201</f>
        <v>0</v>
      </c>
      <c r="BK201" s="38"/>
      <c r="BL201" s="38">
        <v>735</v>
      </c>
      <c r="BW201" s="38" t="str">
        <f>I201</f>
        <v>21</v>
      </c>
      <c r="BX201" s="5" t="s">
        <v>518</v>
      </c>
    </row>
    <row r="202" spans="1:76" x14ac:dyDescent="0.25">
      <c r="A202" s="2" t="s">
        <v>519</v>
      </c>
      <c r="B202" s="3" t="s">
        <v>51</v>
      </c>
      <c r="C202" s="3" t="s">
        <v>520</v>
      </c>
      <c r="D202" s="106" t="s">
        <v>521</v>
      </c>
      <c r="E202" s="107"/>
      <c r="F202" s="3" t="s">
        <v>58</v>
      </c>
      <c r="G202" s="38">
        <v>2</v>
      </c>
      <c r="H202" s="98"/>
      <c r="I202" s="39" t="s">
        <v>59</v>
      </c>
      <c r="J202" s="38">
        <f>G202*AO202</f>
        <v>0</v>
      </c>
      <c r="K202" s="38">
        <f>G202*AP202</f>
        <v>0</v>
      </c>
      <c r="L202" s="38">
        <f>G202*H202</f>
        <v>0</v>
      </c>
      <c r="M202" s="38">
        <f>L202*(1+BW202/100)</f>
        <v>0</v>
      </c>
      <c r="N202" s="38">
        <v>0</v>
      </c>
      <c r="O202" s="38">
        <f>G202*N202</f>
        <v>0</v>
      </c>
      <c r="P202" s="40" t="s">
        <v>60</v>
      </c>
      <c r="Z202" s="38">
        <f>IF(AQ202="5",BJ202,0)</f>
        <v>0</v>
      </c>
      <c r="AB202" s="38">
        <f>IF(AQ202="1",BH202,0)</f>
        <v>0</v>
      </c>
      <c r="AC202" s="38">
        <f>IF(AQ202="1",BI202,0)</f>
        <v>0</v>
      </c>
      <c r="AD202" s="38">
        <f>IF(AQ202="7",BH202,0)</f>
        <v>0</v>
      </c>
      <c r="AE202" s="38">
        <f>IF(AQ202="7",BI202,0)</f>
        <v>0</v>
      </c>
      <c r="AF202" s="38">
        <f>IF(AQ202="2",BH202,0)</f>
        <v>0</v>
      </c>
      <c r="AG202" s="38">
        <f>IF(AQ202="2",BI202,0)</f>
        <v>0</v>
      </c>
      <c r="AH202" s="38">
        <f>IF(AQ202="0",BJ202,0)</f>
        <v>0</v>
      </c>
      <c r="AI202" s="13" t="s">
        <v>51</v>
      </c>
      <c r="AJ202" s="38">
        <f>IF(AN202=0,L202,0)</f>
        <v>0</v>
      </c>
      <c r="AK202" s="38">
        <f>IF(AN202=12,L202,0)</f>
        <v>0</v>
      </c>
      <c r="AL202" s="38">
        <f>IF(AN202=21,L202,0)</f>
        <v>0</v>
      </c>
      <c r="AN202" s="38">
        <v>21</v>
      </c>
      <c r="AO202" s="38">
        <f>H202*0</f>
        <v>0</v>
      </c>
      <c r="AP202" s="38">
        <f>H202*(1-0)</f>
        <v>0</v>
      </c>
      <c r="AQ202" s="39" t="s">
        <v>87</v>
      </c>
      <c r="AV202" s="38">
        <f>AW202+AX202</f>
        <v>0</v>
      </c>
      <c r="AW202" s="38">
        <f>G202*AO202</f>
        <v>0</v>
      </c>
      <c r="AX202" s="38">
        <f>G202*AP202</f>
        <v>0</v>
      </c>
      <c r="AY202" s="39" t="s">
        <v>511</v>
      </c>
      <c r="AZ202" s="39" t="s">
        <v>512</v>
      </c>
      <c r="BA202" s="13" t="s">
        <v>63</v>
      </c>
      <c r="BC202" s="38">
        <f>AW202+AX202</f>
        <v>0</v>
      </c>
      <c r="BD202" s="38">
        <f>H202/(100-BE202)*100</f>
        <v>0</v>
      </c>
      <c r="BE202" s="38">
        <v>0</v>
      </c>
      <c r="BF202" s="38">
        <f>O202</f>
        <v>0</v>
      </c>
      <c r="BH202" s="38">
        <f>G202*AO202</f>
        <v>0</v>
      </c>
      <c r="BI202" s="38">
        <f>G202*AP202</f>
        <v>0</v>
      </c>
      <c r="BJ202" s="38">
        <f>G202*H202</f>
        <v>0</v>
      </c>
      <c r="BK202" s="38"/>
      <c r="BL202" s="38">
        <v>735</v>
      </c>
      <c r="BW202" s="38" t="str">
        <f>I202</f>
        <v>21</v>
      </c>
      <c r="BX202" s="5" t="s">
        <v>521</v>
      </c>
    </row>
    <row r="203" spans="1:76" x14ac:dyDescent="0.25">
      <c r="A203" s="41"/>
      <c r="C203" s="42" t="s">
        <v>78</v>
      </c>
      <c r="D203" s="178" t="s">
        <v>522</v>
      </c>
      <c r="E203" s="179"/>
      <c r="F203" s="179"/>
      <c r="G203" s="179"/>
      <c r="H203" s="179"/>
      <c r="I203" s="179"/>
      <c r="J203" s="179"/>
      <c r="K203" s="179"/>
      <c r="L203" s="179"/>
      <c r="M203" s="179"/>
      <c r="N203" s="179"/>
      <c r="O203" s="179"/>
      <c r="P203" s="180"/>
      <c r="BX203" s="43" t="s">
        <v>522</v>
      </c>
    </row>
    <row r="204" spans="1:76" x14ac:dyDescent="0.25">
      <c r="A204" s="2" t="s">
        <v>523</v>
      </c>
      <c r="B204" s="3" t="s">
        <v>51</v>
      </c>
      <c r="C204" s="3" t="s">
        <v>524</v>
      </c>
      <c r="D204" s="106" t="s">
        <v>525</v>
      </c>
      <c r="E204" s="107"/>
      <c r="F204" s="3" t="s">
        <v>58</v>
      </c>
      <c r="G204" s="38">
        <v>2</v>
      </c>
      <c r="H204" s="98"/>
      <c r="I204" s="39" t="s">
        <v>59</v>
      </c>
      <c r="J204" s="38">
        <f>G204*AO204</f>
        <v>0</v>
      </c>
      <c r="K204" s="38">
        <f>G204*AP204</f>
        <v>0</v>
      </c>
      <c r="L204" s="38">
        <f>G204*H204</f>
        <v>0</v>
      </c>
      <c r="M204" s="38">
        <f>L204*(1+BW204/100)</f>
        <v>0</v>
      </c>
      <c r="N204" s="38">
        <v>8.3599999999999994E-2</v>
      </c>
      <c r="O204" s="38">
        <f>G204*N204</f>
        <v>0.16719999999999999</v>
      </c>
      <c r="P204" s="40" t="s">
        <v>67</v>
      </c>
      <c r="Z204" s="38">
        <f>IF(AQ204="5",BJ204,0)</f>
        <v>0</v>
      </c>
      <c r="AB204" s="38">
        <f>IF(AQ204="1",BH204,0)</f>
        <v>0</v>
      </c>
      <c r="AC204" s="38">
        <f>IF(AQ204="1",BI204,0)</f>
        <v>0</v>
      </c>
      <c r="AD204" s="38">
        <f>IF(AQ204="7",BH204,0)</f>
        <v>0</v>
      </c>
      <c r="AE204" s="38">
        <f>IF(AQ204="7",BI204,0)</f>
        <v>0</v>
      </c>
      <c r="AF204" s="38">
        <f>IF(AQ204="2",BH204,0)</f>
        <v>0</v>
      </c>
      <c r="AG204" s="38">
        <f>IF(AQ204="2",BI204,0)</f>
        <v>0</v>
      </c>
      <c r="AH204" s="38">
        <f>IF(AQ204="0",BJ204,0)</f>
        <v>0</v>
      </c>
      <c r="AI204" s="13" t="s">
        <v>51</v>
      </c>
      <c r="AJ204" s="38">
        <f>IF(AN204=0,L204,0)</f>
        <v>0</v>
      </c>
      <c r="AK204" s="38">
        <f>IF(AN204=12,L204,0)</f>
        <v>0</v>
      </c>
      <c r="AL204" s="38">
        <f>IF(AN204=21,L204,0)</f>
        <v>0</v>
      </c>
      <c r="AN204" s="38">
        <v>21</v>
      </c>
      <c r="AO204" s="38">
        <f>H204*1</f>
        <v>0</v>
      </c>
      <c r="AP204" s="38">
        <f>H204*(1-1)</f>
        <v>0</v>
      </c>
      <c r="AQ204" s="39" t="s">
        <v>87</v>
      </c>
      <c r="AV204" s="38">
        <f>AW204+AX204</f>
        <v>0</v>
      </c>
      <c r="AW204" s="38">
        <f>G204*AO204</f>
        <v>0</v>
      </c>
      <c r="AX204" s="38">
        <f>G204*AP204</f>
        <v>0</v>
      </c>
      <c r="AY204" s="39" t="s">
        <v>511</v>
      </c>
      <c r="AZ204" s="39" t="s">
        <v>512</v>
      </c>
      <c r="BA204" s="13" t="s">
        <v>63</v>
      </c>
      <c r="BC204" s="38">
        <f>AW204+AX204</f>
        <v>0</v>
      </c>
      <c r="BD204" s="38">
        <f>H204/(100-BE204)*100</f>
        <v>0</v>
      </c>
      <c r="BE204" s="38">
        <v>0</v>
      </c>
      <c r="BF204" s="38">
        <f>O204</f>
        <v>0.16719999999999999</v>
      </c>
      <c r="BH204" s="38">
        <f>G204*AO204</f>
        <v>0</v>
      </c>
      <c r="BI204" s="38">
        <f>G204*AP204</f>
        <v>0</v>
      </c>
      <c r="BJ204" s="38">
        <f>G204*H204</f>
        <v>0</v>
      </c>
      <c r="BK204" s="38"/>
      <c r="BL204" s="38">
        <v>735</v>
      </c>
      <c r="BW204" s="38" t="str">
        <f>I204</f>
        <v>21</v>
      </c>
      <c r="BX204" s="5" t="s">
        <v>525</v>
      </c>
    </row>
    <row r="205" spans="1:76" ht="76.5" x14ac:dyDescent="0.25">
      <c r="A205" s="41"/>
      <c r="C205" s="42" t="s">
        <v>78</v>
      </c>
      <c r="D205" s="178" t="s">
        <v>526</v>
      </c>
      <c r="E205" s="179"/>
      <c r="F205" s="179"/>
      <c r="G205" s="179"/>
      <c r="H205" s="179"/>
      <c r="I205" s="179"/>
      <c r="J205" s="179"/>
      <c r="K205" s="179"/>
      <c r="L205" s="179"/>
      <c r="M205" s="179"/>
      <c r="N205" s="179"/>
      <c r="O205" s="179"/>
      <c r="P205" s="180"/>
      <c r="BX205" s="43" t="s">
        <v>526</v>
      </c>
    </row>
    <row r="206" spans="1:76" x14ac:dyDescent="0.25">
      <c r="A206" s="2" t="s">
        <v>527</v>
      </c>
      <c r="B206" s="3" t="s">
        <v>51</v>
      </c>
      <c r="C206" s="3" t="s">
        <v>528</v>
      </c>
      <c r="D206" s="106" t="s">
        <v>529</v>
      </c>
      <c r="E206" s="107"/>
      <c r="F206" s="3" t="s">
        <v>166</v>
      </c>
      <c r="G206" s="38">
        <v>0.19930999999999999</v>
      </c>
      <c r="H206" s="98"/>
      <c r="I206" s="39" t="s">
        <v>59</v>
      </c>
      <c r="J206" s="38">
        <f>G206*AO206</f>
        <v>0</v>
      </c>
      <c r="K206" s="38">
        <f>G206*AP206</f>
        <v>0</v>
      </c>
      <c r="L206" s="38">
        <f>G206*H206</f>
        <v>0</v>
      </c>
      <c r="M206" s="38">
        <f>L206*(1+BW206/100)</f>
        <v>0</v>
      </c>
      <c r="N206" s="38">
        <v>0</v>
      </c>
      <c r="O206" s="38">
        <f>G206*N206</f>
        <v>0</v>
      </c>
      <c r="P206" s="40" t="s">
        <v>60</v>
      </c>
      <c r="Z206" s="38">
        <f>IF(AQ206="5",BJ206,0)</f>
        <v>0</v>
      </c>
      <c r="AB206" s="38">
        <f>IF(AQ206="1",BH206,0)</f>
        <v>0</v>
      </c>
      <c r="AC206" s="38">
        <f>IF(AQ206="1",BI206,0)</f>
        <v>0</v>
      </c>
      <c r="AD206" s="38">
        <f>IF(AQ206="7",BH206,0)</f>
        <v>0</v>
      </c>
      <c r="AE206" s="38">
        <f>IF(AQ206="7",BI206,0)</f>
        <v>0</v>
      </c>
      <c r="AF206" s="38">
        <f>IF(AQ206="2",BH206,0)</f>
        <v>0</v>
      </c>
      <c r="AG206" s="38">
        <f>IF(AQ206="2",BI206,0)</f>
        <v>0</v>
      </c>
      <c r="AH206" s="38">
        <f>IF(AQ206="0",BJ206,0)</f>
        <v>0</v>
      </c>
      <c r="AI206" s="13" t="s">
        <v>51</v>
      </c>
      <c r="AJ206" s="38">
        <f>IF(AN206=0,L206,0)</f>
        <v>0</v>
      </c>
      <c r="AK206" s="38">
        <f>IF(AN206=12,L206,0)</f>
        <v>0</v>
      </c>
      <c r="AL206" s="38">
        <f>IF(AN206=21,L206,0)</f>
        <v>0</v>
      </c>
      <c r="AN206" s="38">
        <v>21</v>
      </c>
      <c r="AO206" s="38">
        <f>H206*0</f>
        <v>0</v>
      </c>
      <c r="AP206" s="38">
        <f>H206*(1-0)</f>
        <v>0</v>
      </c>
      <c r="AQ206" s="39" t="s">
        <v>80</v>
      </c>
      <c r="AV206" s="38">
        <f>AW206+AX206</f>
        <v>0</v>
      </c>
      <c r="AW206" s="38">
        <f>G206*AO206</f>
        <v>0</v>
      </c>
      <c r="AX206" s="38">
        <f>G206*AP206</f>
        <v>0</v>
      </c>
      <c r="AY206" s="39" t="s">
        <v>511</v>
      </c>
      <c r="AZ206" s="39" t="s">
        <v>512</v>
      </c>
      <c r="BA206" s="13" t="s">
        <v>63</v>
      </c>
      <c r="BC206" s="38">
        <f>AW206+AX206</f>
        <v>0</v>
      </c>
      <c r="BD206" s="38">
        <f>H206/(100-BE206)*100</f>
        <v>0</v>
      </c>
      <c r="BE206" s="38">
        <v>0</v>
      </c>
      <c r="BF206" s="38">
        <f>O206</f>
        <v>0</v>
      </c>
      <c r="BH206" s="38">
        <f>G206*AO206</f>
        <v>0</v>
      </c>
      <c r="BI206" s="38">
        <f>G206*AP206</f>
        <v>0</v>
      </c>
      <c r="BJ206" s="38">
        <f>G206*H206</f>
        <v>0</v>
      </c>
      <c r="BK206" s="38"/>
      <c r="BL206" s="38">
        <v>735</v>
      </c>
      <c r="BW206" s="38" t="str">
        <f>I206</f>
        <v>21</v>
      </c>
      <c r="BX206" s="5" t="s">
        <v>529</v>
      </c>
    </row>
    <row r="207" spans="1:76" x14ac:dyDescent="0.25">
      <c r="A207" s="33" t="s">
        <v>50</v>
      </c>
      <c r="B207" s="34" t="s">
        <v>51</v>
      </c>
      <c r="C207" s="34" t="s">
        <v>530</v>
      </c>
      <c r="D207" s="174" t="s">
        <v>531</v>
      </c>
      <c r="E207" s="175"/>
      <c r="F207" s="36" t="s">
        <v>4</v>
      </c>
      <c r="G207" s="36" t="s">
        <v>4</v>
      </c>
      <c r="H207" s="36" t="s">
        <v>4</v>
      </c>
      <c r="I207" s="36" t="s">
        <v>4</v>
      </c>
      <c r="J207" s="1">
        <f>SUM(J208:J213)</f>
        <v>0</v>
      </c>
      <c r="K207" s="1">
        <f>SUM(K208:K213)</f>
        <v>0</v>
      </c>
      <c r="L207" s="1">
        <f>SUM(L208:L213)</f>
        <v>0</v>
      </c>
      <c r="M207" s="1">
        <f>SUM(M208:M213)</f>
        <v>0</v>
      </c>
      <c r="N207" s="13" t="s">
        <v>50</v>
      </c>
      <c r="O207" s="1">
        <f>SUM(O208:O213)</f>
        <v>0.27872000000000002</v>
      </c>
      <c r="P207" s="37" t="s">
        <v>50</v>
      </c>
      <c r="AI207" s="13" t="s">
        <v>51</v>
      </c>
      <c r="AS207" s="1">
        <f>SUM(AJ208:AJ213)</f>
        <v>0</v>
      </c>
      <c r="AT207" s="1">
        <f>SUM(AK208:AK213)</f>
        <v>0</v>
      </c>
      <c r="AU207" s="1">
        <f>SUM(AL208:AL213)</f>
        <v>0</v>
      </c>
    </row>
    <row r="208" spans="1:76" x14ac:dyDescent="0.25">
      <c r="A208" s="2" t="s">
        <v>532</v>
      </c>
      <c r="B208" s="3" t="s">
        <v>51</v>
      </c>
      <c r="C208" s="3" t="s">
        <v>533</v>
      </c>
      <c r="D208" s="106" t="s">
        <v>534</v>
      </c>
      <c r="E208" s="107"/>
      <c r="F208" s="3" t="s">
        <v>58</v>
      </c>
      <c r="G208" s="38">
        <v>5</v>
      </c>
      <c r="H208" s="98"/>
      <c r="I208" s="39" t="s">
        <v>59</v>
      </c>
      <c r="J208" s="38">
        <f t="shared" ref="J208:J213" si="80">G208*AO208</f>
        <v>0</v>
      </c>
      <c r="K208" s="38">
        <f t="shared" ref="K208:K213" si="81">G208*AP208</f>
        <v>0</v>
      </c>
      <c r="L208" s="38">
        <f t="shared" ref="L208:L213" si="82">G208*H208</f>
        <v>0</v>
      </c>
      <c r="M208" s="38">
        <f t="shared" ref="M208:M213" si="83">L208*(1+BW208/100)</f>
        <v>0</v>
      </c>
      <c r="N208" s="38">
        <v>2.0000000000000002E-5</v>
      </c>
      <c r="O208" s="38">
        <f t="shared" ref="O208:O213" si="84">G208*N208</f>
        <v>1E-4</v>
      </c>
      <c r="P208" s="40" t="s">
        <v>60</v>
      </c>
      <c r="Z208" s="38">
        <f t="shared" ref="Z208:Z213" si="85">IF(AQ208="5",BJ208,0)</f>
        <v>0</v>
      </c>
      <c r="AB208" s="38">
        <f t="shared" ref="AB208:AB213" si="86">IF(AQ208="1",BH208,0)</f>
        <v>0</v>
      </c>
      <c r="AC208" s="38">
        <f t="shared" ref="AC208:AC213" si="87">IF(AQ208="1",BI208,0)</f>
        <v>0</v>
      </c>
      <c r="AD208" s="38">
        <f t="shared" ref="AD208:AD213" si="88">IF(AQ208="7",BH208,0)</f>
        <v>0</v>
      </c>
      <c r="AE208" s="38">
        <f t="shared" ref="AE208:AE213" si="89">IF(AQ208="7",BI208,0)</f>
        <v>0</v>
      </c>
      <c r="AF208" s="38">
        <f t="shared" ref="AF208:AF213" si="90">IF(AQ208="2",BH208,0)</f>
        <v>0</v>
      </c>
      <c r="AG208" s="38">
        <f t="shared" ref="AG208:AG213" si="91">IF(AQ208="2",BI208,0)</f>
        <v>0</v>
      </c>
      <c r="AH208" s="38">
        <f t="shared" ref="AH208:AH213" si="92">IF(AQ208="0",BJ208,0)</f>
        <v>0</v>
      </c>
      <c r="AI208" s="13" t="s">
        <v>51</v>
      </c>
      <c r="AJ208" s="38">
        <f t="shared" ref="AJ208:AJ213" si="93">IF(AN208=0,L208,0)</f>
        <v>0</v>
      </c>
      <c r="AK208" s="38">
        <f t="shared" ref="AK208:AK213" si="94">IF(AN208=12,L208,0)</f>
        <v>0</v>
      </c>
      <c r="AL208" s="38">
        <f t="shared" ref="AL208:AL213" si="95">IF(AN208=21,L208,0)</f>
        <v>0</v>
      </c>
      <c r="AN208" s="38">
        <v>21</v>
      </c>
      <c r="AO208" s="38">
        <f>H208*0.026015936</f>
        <v>0</v>
      </c>
      <c r="AP208" s="38">
        <f>H208*(1-0.026015936)</f>
        <v>0</v>
      </c>
      <c r="AQ208" s="39" t="s">
        <v>87</v>
      </c>
      <c r="AV208" s="38">
        <f t="shared" ref="AV208:AV213" si="96">AW208+AX208</f>
        <v>0</v>
      </c>
      <c r="AW208" s="38">
        <f t="shared" ref="AW208:AW213" si="97">G208*AO208</f>
        <v>0</v>
      </c>
      <c r="AX208" s="38">
        <f t="shared" ref="AX208:AX213" si="98">G208*AP208</f>
        <v>0</v>
      </c>
      <c r="AY208" s="39" t="s">
        <v>535</v>
      </c>
      <c r="AZ208" s="39" t="s">
        <v>536</v>
      </c>
      <c r="BA208" s="13" t="s">
        <v>63</v>
      </c>
      <c r="BC208" s="38">
        <f t="shared" ref="BC208:BC213" si="99">AW208+AX208</f>
        <v>0</v>
      </c>
      <c r="BD208" s="38">
        <f t="shared" ref="BD208:BD213" si="100">H208/(100-BE208)*100</f>
        <v>0</v>
      </c>
      <c r="BE208" s="38">
        <v>0</v>
      </c>
      <c r="BF208" s="38">
        <f t="shared" ref="BF208:BF213" si="101">O208</f>
        <v>1E-4</v>
      </c>
      <c r="BH208" s="38">
        <f t="shared" ref="BH208:BH213" si="102">G208*AO208</f>
        <v>0</v>
      </c>
      <c r="BI208" s="38">
        <f t="shared" ref="BI208:BI213" si="103">G208*AP208</f>
        <v>0</v>
      </c>
      <c r="BJ208" s="38">
        <f t="shared" ref="BJ208:BJ213" si="104">G208*H208</f>
        <v>0</v>
      </c>
      <c r="BK208" s="38"/>
      <c r="BL208" s="38">
        <v>766</v>
      </c>
      <c r="BW208" s="38" t="str">
        <f t="shared" ref="BW208:BW213" si="105">I208</f>
        <v>21</v>
      </c>
      <c r="BX208" s="5" t="s">
        <v>534</v>
      </c>
    </row>
    <row r="209" spans="1:76" x14ac:dyDescent="0.25">
      <c r="A209" s="2" t="s">
        <v>537</v>
      </c>
      <c r="B209" s="3" t="s">
        <v>51</v>
      </c>
      <c r="C209" s="3" t="s">
        <v>538</v>
      </c>
      <c r="D209" s="106" t="s">
        <v>539</v>
      </c>
      <c r="E209" s="107"/>
      <c r="F209" s="3" t="s">
        <v>58</v>
      </c>
      <c r="G209" s="38">
        <v>2</v>
      </c>
      <c r="H209" s="98"/>
      <c r="I209" s="39" t="s">
        <v>59</v>
      </c>
      <c r="J209" s="38">
        <f t="shared" si="80"/>
        <v>0</v>
      </c>
      <c r="K209" s="38">
        <f t="shared" si="81"/>
        <v>0</v>
      </c>
      <c r="L209" s="38">
        <f t="shared" si="82"/>
        <v>0</v>
      </c>
      <c r="M209" s="38">
        <f t="shared" si="83"/>
        <v>0</v>
      </c>
      <c r="N209" s="38">
        <v>1.0000000000000001E-5</v>
      </c>
      <c r="O209" s="38">
        <f t="shared" si="84"/>
        <v>2.0000000000000002E-5</v>
      </c>
      <c r="P209" s="40" t="s">
        <v>60</v>
      </c>
      <c r="Z209" s="38">
        <f t="shared" si="85"/>
        <v>0</v>
      </c>
      <c r="AB209" s="38">
        <f t="shared" si="86"/>
        <v>0</v>
      </c>
      <c r="AC209" s="38">
        <f t="shared" si="87"/>
        <v>0</v>
      </c>
      <c r="AD209" s="38">
        <f t="shared" si="88"/>
        <v>0</v>
      </c>
      <c r="AE209" s="38">
        <f t="shared" si="89"/>
        <v>0</v>
      </c>
      <c r="AF209" s="38">
        <f t="shared" si="90"/>
        <v>0</v>
      </c>
      <c r="AG209" s="38">
        <f t="shared" si="91"/>
        <v>0</v>
      </c>
      <c r="AH209" s="38">
        <f t="shared" si="92"/>
        <v>0</v>
      </c>
      <c r="AI209" s="13" t="s">
        <v>51</v>
      </c>
      <c r="AJ209" s="38">
        <f t="shared" si="93"/>
        <v>0</v>
      </c>
      <c r="AK209" s="38">
        <f t="shared" si="94"/>
        <v>0</v>
      </c>
      <c r="AL209" s="38">
        <f t="shared" si="95"/>
        <v>0</v>
      </c>
      <c r="AN209" s="38">
        <v>21</v>
      </c>
      <c r="AO209" s="38">
        <f>H209*0.030858703</f>
        <v>0</v>
      </c>
      <c r="AP209" s="38">
        <f>H209*(1-0.030858703)</f>
        <v>0</v>
      </c>
      <c r="AQ209" s="39" t="s">
        <v>87</v>
      </c>
      <c r="AV209" s="38">
        <f t="shared" si="96"/>
        <v>0</v>
      </c>
      <c r="AW209" s="38">
        <f t="shared" si="97"/>
        <v>0</v>
      </c>
      <c r="AX209" s="38">
        <f t="shared" si="98"/>
        <v>0</v>
      </c>
      <c r="AY209" s="39" t="s">
        <v>535</v>
      </c>
      <c r="AZ209" s="39" t="s">
        <v>536</v>
      </c>
      <c r="BA209" s="13" t="s">
        <v>63</v>
      </c>
      <c r="BC209" s="38">
        <f t="shared" si="99"/>
        <v>0</v>
      </c>
      <c r="BD209" s="38">
        <f t="shared" si="100"/>
        <v>0</v>
      </c>
      <c r="BE209" s="38">
        <v>0</v>
      </c>
      <c r="BF209" s="38">
        <f t="shared" si="101"/>
        <v>2.0000000000000002E-5</v>
      </c>
      <c r="BH209" s="38">
        <f t="shared" si="102"/>
        <v>0</v>
      </c>
      <c r="BI209" s="38">
        <f t="shared" si="103"/>
        <v>0</v>
      </c>
      <c r="BJ209" s="38">
        <f t="shared" si="104"/>
        <v>0</v>
      </c>
      <c r="BK209" s="38"/>
      <c r="BL209" s="38">
        <v>766</v>
      </c>
      <c r="BW209" s="38" t="str">
        <f t="shared" si="105"/>
        <v>21</v>
      </c>
      <c r="BX209" s="5" t="s">
        <v>539</v>
      </c>
    </row>
    <row r="210" spans="1:76" x14ac:dyDescent="0.25">
      <c r="A210" s="2" t="s">
        <v>540</v>
      </c>
      <c r="B210" s="3" t="s">
        <v>51</v>
      </c>
      <c r="C210" s="3" t="s">
        <v>541</v>
      </c>
      <c r="D210" s="106" t="s">
        <v>542</v>
      </c>
      <c r="E210" s="107"/>
      <c r="F210" s="3" t="s">
        <v>58</v>
      </c>
      <c r="G210" s="38">
        <v>5</v>
      </c>
      <c r="H210" s="98"/>
      <c r="I210" s="39" t="s">
        <v>59</v>
      </c>
      <c r="J210" s="38">
        <f t="shared" si="80"/>
        <v>0</v>
      </c>
      <c r="K210" s="38">
        <f t="shared" si="81"/>
        <v>0</v>
      </c>
      <c r="L210" s="38">
        <f t="shared" si="82"/>
        <v>0</v>
      </c>
      <c r="M210" s="38">
        <f t="shared" si="83"/>
        <v>0</v>
      </c>
      <c r="N210" s="38">
        <v>3.5000000000000003E-2</v>
      </c>
      <c r="O210" s="38">
        <f t="shared" si="84"/>
        <v>0.17500000000000002</v>
      </c>
      <c r="P210" s="40" t="s">
        <v>60</v>
      </c>
      <c r="Z210" s="38">
        <f t="shared" si="85"/>
        <v>0</v>
      </c>
      <c r="AB210" s="38">
        <f t="shared" si="86"/>
        <v>0</v>
      </c>
      <c r="AC210" s="38">
        <f t="shared" si="87"/>
        <v>0</v>
      </c>
      <c r="AD210" s="38">
        <f t="shared" si="88"/>
        <v>0</v>
      </c>
      <c r="AE210" s="38">
        <f t="shared" si="89"/>
        <v>0</v>
      </c>
      <c r="AF210" s="38">
        <f t="shared" si="90"/>
        <v>0</v>
      </c>
      <c r="AG210" s="38">
        <f t="shared" si="91"/>
        <v>0</v>
      </c>
      <c r="AH210" s="38">
        <f t="shared" si="92"/>
        <v>0</v>
      </c>
      <c r="AI210" s="13" t="s">
        <v>51</v>
      </c>
      <c r="AJ210" s="38">
        <f t="shared" si="93"/>
        <v>0</v>
      </c>
      <c r="AK210" s="38">
        <f t="shared" si="94"/>
        <v>0</v>
      </c>
      <c r="AL210" s="38">
        <f t="shared" si="95"/>
        <v>0</v>
      </c>
      <c r="AN210" s="38">
        <v>21</v>
      </c>
      <c r="AO210" s="38">
        <f>H210*1</f>
        <v>0</v>
      </c>
      <c r="AP210" s="38">
        <f>H210*(1-1)</f>
        <v>0</v>
      </c>
      <c r="AQ210" s="39" t="s">
        <v>87</v>
      </c>
      <c r="AV210" s="38">
        <f t="shared" si="96"/>
        <v>0</v>
      </c>
      <c r="AW210" s="38">
        <f t="shared" si="97"/>
        <v>0</v>
      </c>
      <c r="AX210" s="38">
        <f t="shared" si="98"/>
        <v>0</v>
      </c>
      <c r="AY210" s="39" t="s">
        <v>535</v>
      </c>
      <c r="AZ210" s="39" t="s">
        <v>536</v>
      </c>
      <c r="BA210" s="13" t="s">
        <v>63</v>
      </c>
      <c r="BC210" s="38">
        <f t="shared" si="99"/>
        <v>0</v>
      </c>
      <c r="BD210" s="38">
        <f t="shared" si="100"/>
        <v>0</v>
      </c>
      <c r="BE210" s="38">
        <v>0</v>
      </c>
      <c r="BF210" s="38">
        <f t="shared" si="101"/>
        <v>0.17500000000000002</v>
      </c>
      <c r="BH210" s="38">
        <f t="shared" si="102"/>
        <v>0</v>
      </c>
      <c r="BI210" s="38">
        <f t="shared" si="103"/>
        <v>0</v>
      </c>
      <c r="BJ210" s="38">
        <f t="shared" si="104"/>
        <v>0</v>
      </c>
      <c r="BK210" s="38"/>
      <c r="BL210" s="38">
        <v>766</v>
      </c>
      <c r="BW210" s="38" t="str">
        <f t="shared" si="105"/>
        <v>21</v>
      </c>
      <c r="BX210" s="5" t="s">
        <v>542</v>
      </c>
    </row>
    <row r="211" spans="1:76" x14ac:dyDescent="0.25">
      <c r="A211" s="2" t="s">
        <v>543</v>
      </c>
      <c r="B211" s="3" t="s">
        <v>51</v>
      </c>
      <c r="C211" s="3" t="s">
        <v>544</v>
      </c>
      <c r="D211" s="106" t="s">
        <v>545</v>
      </c>
      <c r="E211" s="107"/>
      <c r="F211" s="3" t="s">
        <v>58</v>
      </c>
      <c r="G211" s="38">
        <v>5</v>
      </c>
      <c r="H211" s="98"/>
      <c r="I211" s="39" t="s">
        <v>59</v>
      </c>
      <c r="J211" s="38">
        <f t="shared" si="80"/>
        <v>0</v>
      </c>
      <c r="K211" s="38">
        <f t="shared" si="81"/>
        <v>0</v>
      </c>
      <c r="L211" s="38">
        <f t="shared" si="82"/>
        <v>0</v>
      </c>
      <c r="M211" s="38">
        <f t="shared" si="83"/>
        <v>0</v>
      </c>
      <c r="N211" s="38">
        <v>0.02</v>
      </c>
      <c r="O211" s="38">
        <f t="shared" si="84"/>
        <v>0.1</v>
      </c>
      <c r="P211" s="40" t="s">
        <v>60</v>
      </c>
      <c r="Z211" s="38">
        <f t="shared" si="85"/>
        <v>0</v>
      </c>
      <c r="AB211" s="38">
        <f t="shared" si="86"/>
        <v>0</v>
      </c>
      <c r="AC211" s="38">
        <f t="shared" si="87"/>
        <v>0</v>
      </c>
      <c r="AD211" s="38">
        <f t="shared" si="88"/>
        <v>0</v>
      </c>
      <c r="AE211" s="38">
        <f t="shared" si="89"/>
        <v>0</v>
      </c>
      <c r="AF211" s="38">
        <f t="shared" si="90"/>
        <v>0</v>
      </c>
      <c r="AG211" s="38">
        <f t="shared" si="91"/>
        <v>0</v>
      </c>
      <c r="AH211" s="38">
        <f t="shared" si="92"/>
        <v>0</v>
      </c>
      <c r="AI211" s="13" t="s">
        <v>51</v>
      </c>
      <c r="AJ211" s="38">
        <f t="shared" si="93"/>
        <v>0</v>
      </c>
      <c r="AK211" s="38">
        <f t="shared" si="94"/>
        <v>0</v>
      </c>
      <c r="AL211" s="38">
        <f t="shared" si="95"/>
        <v>0</v>
      </c>
      <c r="AN211" s="38">
        <v>21</v>
      </c>
      <c r="AO211" s="38">
        <f>H211*1</f>
        <v>0</v>
      </c>
      <c r="AP211" s="38">
        <f>H211*(1-1)</f>
        <v>0</v>
      </c>
      <c r="AQ211" s="39" t="s">
        <v>87</v>
      </c>
      <c r="AV211" s="38">
        <f t="shared" si="96"/>
        <v>0</v>
      </c>
      <c r="AW211" s="38">
        <f t="shared" si="97"/>
        <v>0</v>
      </c>
      <c r="AX211" s="38">
        <f t="shared" si="98"/>
        <v>0</v>
      </c>
      <c r="AY211" s="39" t="s">
        <v>535</v>
      </c>
      <c r="AZ211" s="39" t="s">
        <v>536</v>
      </c>
      <c r="BA211" s="13" t="s">
        <v>63</v>
      </c>
      <c r="BC211" s="38">
        <f t="shared" si="99"/>
        <v>0</v>
      </c>
      <c r="BD211" s="38">
        <f t="shared" si="100"/>
        <v>0</v>
      </c>
      <c r="BE211" s="38">
        <v>0</v>
      </c>
      <c r="BF211" s="38">
        <f t="shared" si="101"/>
        <v>0.1</v>
      </c>
      <c r="BH211" s="38">
        <f t="shared" si="102"/>
        <v>0</v>
      </c>
      <c r="BI211" s="38">
        <f t="shared" si="103"/>
        <v>0</v>
      </c>
      <c r="BJ211" s="38">
        <f t="shared" si="104"/>
        <v>0</v>
      </c>
      <c r="BK211" s="38"/>
      <c r="BL211" s="38">
        <v>766</v>
      </c>
      <c r="BW211" s="38" t="str">
        <f t="shared" si="105"/>
        <v>21</v>
      </c>
      <c r="BX211" s="5" t="s">
        <v>545</v>
      </c>
    </row>
    <row r="212" spans="1:76" x14ac:dyDescent="0.25">
      <c r="A212" s="2" t="s">
        <v>546</v>
      </c>
      <c r="B212" s="3" t="s">
        <v>51</v>
      </c>
      <c r="C212" s="3" t="s">
        <v>547</v>
      </c>
      <c r="D212" s="106" t="s">
        <v>548</v>
      </c>
      <c r="E212" s="107"/>
      <c r="F212" s="3" t="s">
        <v>58</v>
      </c>
      <c r="G212" s="38">
        <v>2</v>
      </c>
      <c r="H212" s="98"/>
      <c r="I212" s="39" t="s">
        <v>59</v>
      </c>
      <c r="J212" s="38">
        <f t="shared" si="80"/>
        <v>0</v>
      </c>
      <c r="K212" s="38">
        <f t="shared" si="81"/>
        <v>0</v>
      </c>
      <c r="L212" s="38">
        <f t="shared" si="82"/>
        <v>0</v>
      </c>
      <c r="M212" s="38">
        <f t="shared" si="83"/>
        <v>0</v>
      </c>
      <c r="N212" s="38">
        <v>1.8E-3</v>
      </c>
      <c r="O212" s="38">
        <f t="shared" si="84"/>
        <v>3.5999999999999999E-3</v>
      </c>
      <c r="P212" s="40" t="s">
        <v>549</v>
      </c>
      <c r="Z212" s="38">
        <f t="shared" si="85"/>
        <v>0</v>
      </c>
      <c r="AB212" s="38">
        <f t="shared" si="86"/>
        <v>0</v>
      </c>
      <c r="AC212" s="38">
        <f t="shared" si="87"/>
        <v>0</v>
      </c>
      <c r="AD212" s="38">
        <f t="shared" si="88"/>
        <v>0</v>
      </c>
      <c r="AE212" s="38">
        <f t="shared" si="89"/>
        <v>0</v>
      </c>
      <c r="AF212" s="38">
        <f t="shared" si="90"/>
        <v>0</v>
      </c>
      <c r="AG212" s="38">
        <f t="shared" si="91"/>
        <v>0</v>
      </c>
      <c r="AH212" s="38">
        <f t="shared" si="92"/>
        <v>0</v>
      </c>
      <c r="AI212" s="13" t="s">
        <v>51</v>
      </c>
      <c r="AJ212" s="38">
        <f t="shared" si="93"/>
        <v>0</v>
      </c>
      <c r="AK212" s="38">
        <f t="shared" si="94"/>
        <v>0</v>
      </c>
      <c r="AL212" s="38">
        <f t="shared" si="95"/>
        <v>0</v>
      </c>
      <c r="AN212" s="38">
        <v>21</v>
      </c>
      <c r="AO212" s="38">
        <f>H212*1</f>
        <v>0</v>
      </c>
      <c r="AP212" s="38">
        <f>H212*(1-1)</f>
        <v>0</v>
      </c>
      <c r="AQ212" s="39" t="s">
        <v>87</v>
      </c>
      <c r="AV212" s="38">
        <f t="shared" si="96"/>
        <v>0</v>
      </c>
      <c r="AW212" s="38">
        <f t="shared" si="97"/>
        <v>0</v>
      </c>
      <c r="AX212" s="38">
        <f t="shared" si="98"/>
        <v>0</v>
      </c>
      <c r="AY212" s="39" t="s">
        <v>535</v>
      </c>
      <c r="AZ212" s="39" t="s">
        <v>536</v>
      </c>
      <c r="BA212" s="13" t="s">
        <v>63</v>
      </c>
      <c r="BC212" s="38">
        <f t="shared" si="99"/>
        <v>0</v>
      </c>
      <c r="BD212" s="38">
        <f t="shared" si="100"/>
        <v>0</v>
      </c>
      <c r="BE212" s="38">
        <v>0</v>
      </c>
      <c r="BF212" s="38">
        <f t="shared" si="101"/>
        <v>3.5999999999999999E-3</v>
      </c>
      <c r="BH212" s="38">
        <f t="shared" si="102"/>
        <v>0</v>
      </c>
      <c r="BI212" s="38">
        <f t="shared" si="103"/>
        <v>0</v>
      </c>
      <c r="BJ212" s="38">
        <f t="shared" si="104"/>
        <v>0</v>
      </c>
      <c r="BK212" s="38"/>
      <c r="BL212" s="38">
        <v>766</v>
      </c>
      <c r="BW212" s="38" t="str">
        <f t="shared" si="105"/>
        <v>21</v>
      </c>
      <c r="BX212" s="5" t="s">
        <v>548</v>
      </c>
    </row>
    <row r="213" spans="1:76" x14ac:dyDescent="0.25">
      <c r="A213" s="2" t="s">
        <v>550</v>
      </c>
      <c r="B213" s="3" t="s">
        <v>51</v>
      </c>
      <c r="C213" s="3" t="s">
        <v>551</v>
      </c>
      <c r="D213" s="106" t="s">
        <v>552</v>
      </c>
      <c r="E213" s="107"/>
      <c r="F213" s="3" t="s">
        <v>166</v>
      </c>
      <c r="G213" s="38">
        <v>0.27872000000000002</v>
      </c>
      <c r="H213" s="98"/>
      <c r="I213" s="39" t="s">
        <v>59</v>
      </c>
      <c r="J213" s="38">
        <f t="shared" si="80"/>
        <v>0</v>
      </c>
      <c r="K213" s="38">
        <f t="shared" si="81"/>
        <v>0</v>
      </c>
      <c r="L213" s="38">
        <f t="shared" si="82"/>
        <v>0</v>
      </c>
      <c r="M213" s="38">
        <f t="shared" si="83"/>
        <v>0</v>
      </c>
      <c r="N213" s="38">
        <v>0</v>
      </c>
      <c r="O213" s="38">
        <f t="shared" si="84"/>
        <v>0</v>
      </c>
      <c r="P213" s="40" t="s">
        <v>60</v>
      </c>
      <c r="Z213" s="38">
        <f t="shared" si="85"/>
        <v>0</v>
      </c>
      <c r="AB213" s="38">
        <f t="shared" si="86"/>
        <v>0</v>
      </c>
      <c r="AC213" s="38">
        <f t="shared" si="87"/>
        <v>0</v>
      </c>
      <c r="AD213" s="38">
        <f t="shared" si="88"/>
        <v>0</v>
      </c>
      <c r="AE213" s="38">
        <f t="shared" si="89"/>
        <v>0</v>
      </c>
      <c r="AF213" s="38">
        <f t="shared" si="90"/>
        <v>0</v>
      </c>
      <c r="AG213" s="38">
        <f t="shared" si="91"/>
        <v>0</v>
      </c>
      <c r="AH213" s="38">
        <f t="shared" si="92"/>
        <v>0</v>
      </c>
      <c r="AI213" s="13" t="s">
        <v>51</v>
      </c>
      <c r="AJ213" s="38">
        <f t="shared" si="93"/>
        <v>0</v>
      </c>
      <c r="AK213" s="38">
        <f t="shared" si="94"/>
        <v>0</v>
      </c>
      <c r="AL213" s="38">
        <f t="shared" si="95"/>
        <v>0</v>
      </c>
      <c r="AN213" s="38">
        <v>21</v>
      </c>
      <c r="AO213" s="38">
        <f>H213*0</f>
        <v>0</v>
      </c>
      <c r="AP213" s="38">
        <f>H213*(1-0)</f>
        <v>0</v>
      </c>
      <c r="AQ213" s="39" t="s">
        <v>80</v>
      </c>
      <c r="AV213" s="38">
        <f t="shared" si="96"/>
        <v>0</v>
      </c>
      <c r="AW213" s="38">
        <f t="shared" si="97"/>
        <v>0</v>
      </c>
      <c r="AX213" s="38">
        <f t="shared" si="98"/>
        <v>0</v>
      </c>
      <c r="AY213" s="39" t="s">
        <v>535</v>
      </c>
      <c r="AZ213" s="39" t="s">
        <v>536</v>
      </c>
      <c r="BA213" s="13" t="s">
        <v>63</v>
      </c>
      <c r="BC213" s="38">
        <f t="shared" si="99"/>
        <v>0</v>
      </c>
      <c r="BD213" s="38">
        <f t="shared" si="100"/>
        <v>0</v>
      </c>
      <c r="BE213" s="38">
        <v>0</v>
      </c>
      <c r="BF213" s="38">
        <f t="shared" si="101"/>
        <v>0</v>
      </c>
      <c r="BH213" s="38">
        <f t="shared" si="102"/>
        <v>0</v>
      </c>
      <c r="BI213" s="38">
        <f t="shared" si="103"/>
        <v>0</v>
      </c>
      <c r="BJ213" s="38">
        <f t="shared" si="104"/>
        <v>0</v>
      </c>
      <c r="BK213" s="38"/>
      <c r="BL213" s="38">
        <v>766</v>
      </c>
      <c r="BW213" s="38" t="str">
        <f t="shared" si="105"/>
        <v>21</v>
      </c>
      <c r="BX213" s="5" t="s">
        <v>552</v>
      </c>
    </row>
    <row r="214" spans="1:76" x14ac:dyDescent="0.25">
      <c r="A214" s="33" t="s">
        <v>50</v>
      </c>
      <c r="B214" s="34" t="s">
        <v>51</v>
      </c>
      <c r="C214" s="34" t="s">
        <v>553</v>
      </c>
      <c r="D214" s="174" t="s">
        <v>554</v>
      </c>
      <c r="E214" s="175"/>
      <c r="F214" s="36" t="s">
        <v>4</v>
      </c>
      <c r="G214" s="36" t="s">
        <v>4</v>
      </c>
      <c r="H214" s="36" t="s">
        <v>4</v>
      </c>
      <c r="I214" s="36" t="s">
        <v>4</v>
      </c>
      <c r="J214" s="1">
        <f>SUM(J215:J218)</f>
        <v>0</v>
      </c>
      <c r="K214" s="1">
        <f>SUM(K215:K218)</f>
        <v>0</v>
      </c>
      <c r="L214" s="1">
        <f>SUM(L215:L218)</f>
        <v>0</v>
      </c>
      <c r="M214" s="1">
        <f>SUM(M215:M218)</f>
        <v>0</v>
      </c>
      <c r="N214" s="13" t="s">
        <v>50</v>
      </c>
      <c r="O214" s="1">
        <f>SUM(O215:O218)</f>
        <v>1.0359647999999999</v>
      </c>
      <c r="P214" s="37" t="s">
        <v>50</v>
      </c>
      <c r="AI214" s="13" t="s">
        <v>51</v>
      </c>
      <c r="AS214" s="1">
        <f>SUM(AJ215:AJ218)</f>
        <v>0</v>
      </c>
      <c r="AT214" s="1">
        <f>SUM(AK215:AK218)</f>
        <v>0</v>
      </c>
      <c r="AU214" s="1">
        <f>SUM(AL215:AL218)</f>
        <v>0</v>
      </c>
    </row>
    <row r="215" spans="1:76" x14ac:dyDescent="0.25">
      <c r="A215" s="2" t="s">
        <v>555</v>
      </c>
      <c r="B215" s="3" t="s">
        <v>51</v>
      </c>
      <c r="C215" s="3" t="s">
        <v>556</v>
      </c>
      <c r="D215" s="106" t="s">
        <v>557</v>
      </c>
      <c r="E215" s="107"/>
      <c r="F215" s="3" t="s">
        <v>83</v>
      </c>
      <c r="G215" s="38">
        <v>46.81</v>
      </c>
      <c r="H215" s="98"/>
      <c r="I215" s="39" t="s">
        <v>59</v>
      </c>
      <c r="J215" s="38">
        <f>G215*AO215</f>
        <v>0</v>
      </c>
      <c r="K215" s="38">
        <f>G215*AP215</f>
        <v>0</v>
      </c>
      <c r="L215" s="38">
        <f>G215*H215</f>
        <v>0</v>
      </c>
      <c r="M215" s="38">
        <f>L215*(1+BW215/100)</f>
        <v>0</v>
      </c>
      <c r="N215" s="38">
        <v>0</v>
      </c>
      <c r="O215" s="38">
        <f>G215*N215</f>
        <v>0</v>
      </c>
      <c r="P215" s="40" t="s">
        <v>60</v>
      </c>
      <c r="Z215" s="38">
        <f>IF(AQ215="5",BJ215,0)</f>
        <v>0</v>
      </c>
      <c r="AB215" s="38">
        <f>IF(AQ215="1",BH215,0)</f>
        <v>0</v>
      </c>
      <c r="AC215" s="38">
        <f>IF(AQ215="1",BI215,0)</f>
        <v>0</v>
      </c>
      <c r="AD215" s="38">
        <f>IF(AQ215="7",BH215,0)</f>
        <v>0</v>
      </c>
      <c r="AE215" s="38">
        <f>IF(AQ215="7",BI215,0)</f>
        <v>0</v>
      </c>
      <c r="AF215" s="38">
        <f>IF(AQ215="2",BH215,0)</f>
        <v>0</v>
      </c>
      <c r="AG215" s="38">
        <f>IF(AQ215="2",BI215,0)</f>
        <v>0</v>
      </c>
      <c r="AH215" s="38">
        <f>IF(AQ215="0",BJ215,0)</f>
        <v>0</v>
      </c>
      <c r="AI215" s="13" t="s">
        <v>51</v>
      </c>
      <c r="AJ215" s="38">
        <f>IF(AN215=0,L215,0)</f>
        <v>0</v>
      </c>
      <c r="AK215" s="38">
        <f>IF(AN215=12,L215,0)</f>
        <v>0</v>
      </c>
      <c r="AL215" s="38">
        <f>IF(AN215=21,L215,0)</f>
        <v>0</v>
      </c>
      <c r="AN215" s="38">
        <v>21</v>
      </c>
      <c r="AO215" s="38">
        <f>H215*0</f>
        <v>0</v>
      </c>
      <c r="AP215" s="38">
        <f>H215*(1-0)</f>
        <v>0</v>
      </c>
      <c r="AQ215" s="39" t="s">
        <v>87</v>
      </c>
      <c r="AV215" s="38">
        <f>AW215+AX215</f>
        <v>0</v>
      </c>
      <c r="AW215" s="38">
        <f>G215*AO215</f>
        <v>0</v>
      </c>
      <c r="AX215" s="38">
        <f>G215*AP215</f>
        <v>0</v>
      </c>
      <c r="AY215" s="39" t="s">
        <v>558</v>
      </c>
      <c r="AZ215" s="39" t="s">
        <v>559</v>
      </c>
      <c r="BA215" s="13" t="s">
        <v>63</v>
      </c>
      <c r="BC215" s="38">
        <f>AW215+AX215</f>
        <v>0</v>
      </c>
      <c r="BD215" s="38">
        <f>H215/(100-BE215)*100</f>
        <v>0</v>
      </c>
      <c r="BE215" s="38">
        <v>0</v>
      </c>
      <c r="BF215" s="38">
        <f>O215</f>
        <v>0</v>
      </c>
      <c r="BH215" s="38">
        <f>G215*AO215</f>
        <v>0</v>
      </c>
      <c r="BI215" s="38">
        <f>G215*AP215</f>
        <v>0</v>
      </c>
      <c r="BJ215" s="38">
        <f>G215*H215</f>
        <v>0</v>
      </c>
      <c r="BK215" s="38"/>
      <c r="BL215" s="38">
        <v>771</v>
      </c>
      <c r="BW215" s="38" t="str">
        <f>I215</f>
        <v>21</v>
      </c>
      <c r="BX215" s="5" t="s">
        <v>557</v>
      </c>
    </row>
    <row r="216" spans="1:76" ht="25.5" x14ac:dyDescent="0.25">
      <c r="A216" s="2" t="s">
        <v>560</v>
      </c>
      <c r="B216" s="3" t="s">
        <v>51</v>
      </c>
      <c r="C216" s="3" t="s">
        <v>561</v>
      </c>
      <c r="D216" s="106" t="s">
        <v>562</v>
      </c>
      <c r="E216" s="107"/>
      <c r="F216" s="3" t="s">
        <v>83</v>
      </c>
      <c r="G216" s="38">
        <v>53.831499999999998</v>
      </c>
      <c r="H216" s="98"/>
      <c r="I216" s="39" t="s">
        <v>59</v>
      </c>
      <c r="J216" s="38">
        <f>G216*AO216</f>
        <v>0</v>
      </c>
      <c r="K216" s="38">
        <f>G216*AP216</f>
        <v>0</v>
      </c>
      <c r="L216" s="38">
        <f>G216*H216</f>
        <v>0</v>
      </c>
      <c r="M216" s="38">
        <f>L216*(1+BW216/100)</f>
        <v>0</v>
      </c>
      <c r="N216" s="38">
        <v>1.9199999999999998E-2</v>
      </c>
      <c r="O216" s="38">
        <f>G216*N216</f>
        <v>1.0335648</v>
      </c>
      <c r="P216" s="40" t="s">
        <v>67</v>
      </c>
      <c r="Z216" s="38">
        <f>IF(AQ216="5",BJ216,0)</f>
        <v>0</v>
      </c>
      <c r="AB216" s="38">
        <f>IF(AQ216="1",BH216,0)</f>
        <v>0</v>
      </c>
      <c r="AC216" s="38">
        <f>IF(AQ216="1",BI216,0)</f>
        <v>0</v>
      </c>
      <c r="AD216" s="38">
        <f>IF(AQ216="7",BH216,0)</f>
        <v>0</v>
      </c>
      <c r="AE216" s="38">
        <f>IF(AQ216="7",BI216,0)</f>
        <v>0</v>
      </c>
      <c r="AF216" s="38">
        <f>IF(AQ216="2",BH216,0)</f>
        <v>0</v>
      </c>
      <c r="AG216" s="38">
        <f>IF(AQ216="2",BI216,0)</f>
        <v>0</v>
      </c>
      <c r="AH216" s="38">
        <f>IF(AQ216="0",BJ216,0)</f>
        <v>0</v>
      </c>
      <c r="AI216" s="13" t="s">
        <v>51</v>
      </c>
      <c r="AJ216" s="38">
        <f>IF(AN216=0,L216,0)</f>
        <v>0</v>
      </c>
      <c r="AK216" s="38">
        <f>IF(AN216=12,L216,0)</f>
        <v>0</v>
      </c>
      <c r="AL216" s="38">
        <f>IF(AN216=21,L216,0)</f>
        <v>0</v>
      </c>
      <c r="AN216" s="38">
        <v>21</v>
      </c>
      <c r="AO216" s="38">
        <f>H216*1</f>
        <v>0</v>
      </c>
      <c r="AP216" s="38">
        <f>H216*(1-1)</f>
        <v>0</v>
      </c>
      <c r="AQ216" s="39" t="s">
        <v>87</v>
      </c>
      <c r="AV216" s="38">
        <f>AW216+AX216</f>
        <v>0</v>
      </c>
      <c r="AW216" s="38">
        <f>G216*AO216</f>
        <v>0</v>
      </c>
      <c r="AX216" s="38">
        <f>G216*AP216</f>
        <v>0</v>
      </c>
      <c r="AY216" s="39" t="s">
        <v>558</v>
      </c>
      <c r="AZ216" s="39" t="s">
        <v>559</v>
      </c>
      <c r="BA216" s="13" t="s">
        <v>63</v>
      </c>
      <c r="BC216" s="38">
        <f>AW216+AX216</f>
        <v>0</v>
      </c>
      <c r="BD216" s="38">
        <f>H216/(100-BE216)*100</f>
        <v>0</v>
      </c>
      <c r="BE216" s="38">
        <v>0</v>
      </c>
      <c r="BF216" s="38">
        <f>O216</f>
        <v>1.0335648</v>
      </c>
      <c r="BH216" s="38">
        <f>G216*AO216</f>
        <v>0</v>
      </c>
      <c r="BI216" s="38">
        <f>G216*AP216</f>
        <v>0</v>
      </c>
      <c r="BJ216" s="38">
        <f>G216*H216</f>
        <v>0</v>
      </c>
      <c r="BK216" s="38"/>
      <c r="BL216" s="38">
        <v>771</v>
      </c>
      <c r="BW216" s="38" t="str">
        <f>I216</f>
        <v>21</v>
      </c>
      <c r="BX216" s="5" t="s">
        <v>562</v>
      </c>
    </row>
    <row r="217" spans="1:76" x14ac:dyDescent="0.25">
      <c r="A217" s="2" t="s">
        <v>563</v>
      </c>
      <c r="B217" s="3" t="s">
        <v>51</v>
      </c>
      <c r="C217" s="3" t="s">
        <v>564</v>
      </c>
      <c r="D217" s="106" t="s">
        <v>565</v>
      </c>
      <c r="E217" s="107"/>
      <c r="F217" s="3" t="s">
        <v>108</v>
      </c>
      <c r="G217" s="38">
        <v>60</v>
      </c>
      <c r="H217" s="98"/>
      <c r="I217" s="39" t="s">
        <v>59</v>
      </c>
      <c r="J217" s="38">
        <f>G217*AO217</f>
        <v>0</v>
      </c>
      <c r="K217" s="38">
        <f>G217*AP217</f>
        <v>0</v>
      </c>
      <c r="L217" s="38">
        <f>G217*H217</f>
        <v>0</v>
      </c>
      <c r="M217" s="38">
        <f>L217*(1+BW217/100)</f>
        <v>0</v>
      </c>
      <c r="N217" s="38">
        <v>4.0000000000000003E-5</v>
      </c>
      <c r="O217" s="38">
        <f>G217*N217</f>
        <v>2.4000000000000002E-3</v>
      </c>
      <c r="P217" s="40" t="s">
        <v>60</v>
      </c>
      <c r="Z217" s="38">
        <f>IF(AQ217="5",BJ217,0)</f>
        <v>0</v>
      </c>
      <c r="AB217" s="38">
        <f>IF(AQ217="1",BH217,0)</f>
        <v>0</v>
      </c>
      <c r="AC217" s="38">
        <f>IF(AQ217="1",BI217,0)</f>
        <v>0</v>
      </c>
      <c r="AD217" s="38">
        <f>IF(AQ217="7",BH217,0)</f>
        <v>0</v>
      </c>
      <c r="AE217" s="38">
        <f>IF(AQ217="7",BI217,0)</f>
        <v>0</v>
      </c>
      <c r="AF217" s="38">
        <f>IF(AQ217="2",BH217,0)</f>
        <v>0</v>
      </c>
      <c r="AG217" s="38">
        <f>IF(AQ217="2",BI217,0)</f>
        <v>0</v>
      </c>
      <c r="AH217" s="38">
        <f>IF(AQ217="0",BJ217,0)</f>
        <v>0</v>
      </c>
      <c r="AI217" s="13" t="s">
        <v>51</v>
      </c>
      <c r="AJ217" s="38">
        <f>IF(AN217=0,L217,0)</f>
        <v>0</v>
      </c>
      <c r="AK217" s="38">
        <f>IF(AN217=12,L217,0)</f>
        <v>0</v>
      </c>
      <c r="AL217" s="38">
        <f>IF(AN217=21,L217,0)</f>
        <v>0</v>
      </c>
      <c r="AN217" s="38">
        <v>21</v>
      </c>
      <c r="AO217" s="38">
        <f>H217*0.470182121</f>
        <v>0</v>
      </c>
      <c r="AP217" s="38">
        <f>H217*(1-0.470182121)</f>
        <v>0</v>
      </c>
      <c r="AQ217" s="39" t="s">
        <v>87</v>
      </c>
      <c r="AV217" s="38">
        <f>AW217+AX217</f>
        <v>0</v>
      </c>
      <c r="AW217" s="38">
        <f>G217*AO217</f>
        <v>0</v>
      </c>
      <c r="AX217" s="38">
        <f>G217*AP217</f>
        <v>0</v>
      </c>
      <c r="AY217" s="39" t="s">
        <v>558</v>
      </c>
      <c r="AZ217" s="39" t="s">
        <v>559</v>
      </c>
      <c r="BA217" s="13" t="s">
        <v>63</v>
      </c>
      <c r="BC217" s="38">
        <f>AW217+AX217</f>
        <v>0</v>
      </c>
      <c r="BD217" s="38">
        <f>H217/(100-BE217)*100</f>
        <v>0</v>
      </c>
      <c r="BE217" s="38">
        <v>0</v>
      </c>
      <c r="BF217" s="38">
        <f>O217</f>
        <v>2.4000000000000002E-3</v>
      </c>
      <c r="BH217" s="38">
        <f>G217*AO217</f>
        <v>0</v>
      </c>
      <c r="BI217" s="38">
        <f>G217*AP217</f>
        <v>0</v>
      </c>
      <c r="BJ217" s="38">
        <f>G217*H217</f>
        <v>0</v>
      </c>
      <c r="BK217" s="38"/>
      <c r="BL217" s="38">
        <v>771</v>
      </c>
      <c r="BW217" s="38" t="str">
        <f>I217</f>
        <v>21</v>
      </c>
      <c r="BX217" s="5" t="s">
        <v>565</v>
      </c>
    </row>
    <row r="218" spans="1:76" x14ac:dyDescent="0.25">
      <c r="A218" s="2" t="s">
        <v>566</v>
      </c>
      <c r="B218" s="3" t="s">
        <v>51</v>
      </c>
      <c r="C218" s="3" t="s">
        <v>567</v>
      </c>
      <c r="D218" s="106" t="s">
        <v>568</v>
      </c>
      <c r="E218" s="107"/>
      <c r="F218" s="3" t="s">
        <v>166</v>
      </c>
      <c r="G218" s="38">
        <v>1.03596</v>
      </c>
      <c r="H218" s="98"/>
      <c r="I218" s="39" t="s">
        <v>59</v>
      </c>
      <c r="J218" s="38">
        <f>G218*AO218</f>
        <v>0</v>
      </c>
      <c r="K218" s="38">
        <f>G218*AP218</f>
        <v>0</v>
      </c>
      <c r="L218" s="38">
        <f>G218*H218</f>
        <v>0</v>
      </c>
      <c r="M218" s="38">
        <f>L218*(1+BW218/100)</f>
        <v>0</v>
      </c>
      <c r="N218" s="38">
        <v>0</v>
      </c>
      <c r="O218" s="38">
        <f>G218*N218</f>
        <v>0</v>
      </c>
      <c r="P218" s="40" t="s">
        <v>60</v>
      </c>
      <c r="Z218" s="38">
        <f>IF(AQ218="5",BJ218,0)</f>
        <v>0</v>
      </c>
      <c r="AB218" s="38">
        <f>IF(AQ218="1",BH218,0)</f>
        <v>0</v>
      </c>
      <c r="AC218" s="38">
        <f>IF(AQ218="1",BI218,0)</f>
        <v>0</v>
      </c>
      <c r="AD218" s="38">
        <f>IF(AQ218="7",BH218,0)</f>
        <v>0</v>
      </c>
      <c r="AE218" s="38">
        <f>IF(AQ218="7",BI218,0)</f>
        <v>0</v>
      </c>
      <c r="AF218" s="38">
        <f>IF(AQ218="2",BH218,0)</f>
        <v>0</v>
      </c>
      <c r="AG218" s="38">
        <f>IF(AQ218="2",BI218,0)</f>
        <v>0</v>
      </c>
      <c r="AH218" s="38">
        <f>IF(AQ218="0",BJ218,0)</f>
        <v>0</v>
      </c>
      <c r="AI218" s="13" t="s">
        <v>51</v>
      </c>
      <c r="AJ218" s="38">
        <f>IF(AN218=0,L218,0)</f>
        <v>0</v>
      </c>
      <c r="AK218" s="38">
        <f>IF(AN218=12,L218,0)</f>
        <v>0</v>
      </c>
      <c r="AL218" s="38">
        <f>IF(AN218=21,L218,0)</f>
        <v>0</v>
      </c>
      <c r="AN218" s="38">
        <v>21</v>
      </c>
      <c r="AO218" s="38">
        <f>H218*0</f>
        <v>0</v>
      </c>
      <c r="AP218" s="38">
        <f>H218*(1-0)</f>
        <v>0</v>
      </c>
      <c r="AQ218" s="39" t="s">
        <v>80</v>
      </c>
      <c r="AV218" s="38">
        <f>AW218+AX218</f>
        <v>0</v>
      </c>
      <c r="AW218" s="38">
        <f>G218*AO218</f>
        <v>0</v>
      </c>
      <c r="AX218" s="38">
        <f>G218*AP218</f>
        <v>0</v>
      </c>
      <c r="AY218" s="39" t="s">
        <v>558</v>
      </c>
      <c r="AZ218" s="39" t="s">
        <v>559</v>
      </c>
      <c r="BA218" s="13" t="s">
        <v>63</v>
      </c>
      <c r="BC218" s="38">
        <f>AW218+AX218</f>
        <v>0</v>
      </c>
      <c r="BD218" s="38">
        <f>H218/(100-BE218)*100</f>
        <v>0</v>
      </c>
      <c r="BE218" s="38">
        <v>0</v>
      </c>
      <c r="BF218" s="38">
        <f>O218</f>
        <v>0</v>
      </c>
      <c r="BH218" s="38">
        <f>G218*AO218</f>
        <v>0</v>
      </c>
      <c r="BI218" s="38">
        <f>G218*AP218</f>
        <v>0</v>
      </c>
      <c r="BJ218" s="38">
        <f>G218*H218</f>
        <v>0</v>
      </c>
      <c r="BK218" s="38"/>
      <c r="BL218" s="38">
        <v>771</v>
      </c>
      <c r="BW218" s="38" t="str">
        <f>I218</f>
        <v>21</v>
      </c>
      <c r="BX218" s="5" t="s">
        <v>568</v>
      </c>
    </row>
    <row r="219" spans="1:76" x14ac:dyDescent="0.25">
      <c r="A219" s="33" t="s">
        <v>50</v>
      </c>
      <c r="B219" s="34" t="s">
        <v>51</v>
      </c>
      <c r="C219" s="34" t="s">
        <v>569</v>
      </c>
      <c r="D219" s="174" t="s">
        <v>570</v>
      </c>
      <c r="E219" s="175"/>
      <c r="F219" s="36" t="s">
        <v>4</v>
      </c>
      <c r="G219" s="36" t="s">
        <v>4</v>
      </c>
      <c r="H219" s="36" t="s">
        <v>4</v>
      </c>
      <c r="I219" s="36" t="s">
        <v>4</v>
      </c>
      <c r="J219" s="1">
        <f>SUM(J220:J228)</f>
        <v>0</v>
      </c>
      <c r="K219" s="1">
        <f>SUM(K220:K228)</f>
        <v>0</v>
      </c>
      <c r="L219" s="1">
        <f>SUM(L220:L228)</f>
        <v>0</v>
      </c>
      <c r="M219" s="1">
        <f>SUM(M220:M228)</f>
        <v>0</v>
      </c>
      <c r="N219" s="13" t="s">
        <v>50</v>
      </c>
      <c r="O219" s="1">
        <f>SUM(O220:O228)</f>
        <v>3.8072502610000001</v>
      </c>
      <c r="P219" s="37" t="s">
        <v>50</v>
      </c>
      <c r="AI219" s="13" t="s">
        <v>51</v>
      </c>
      <c r="AS219" s="1">
        <f>SUM(AJ220:AJ228)</f>
        <v>0</v>
      </c>
      <c r="AT219" s="1">
        <f>SUM(AK220:AK228)</f>
        <v>0</v>
      </c>
      <c r="AU219" s="1">
        <f>SUM(AL220:AL228)</f>
        <v>0</v>
      </c>
    </row>
    <row r="220" spans="1:76" x14ac:dyDescent="0.25">
      <c r="A220" s="2" t="s">
        <v>571</v>
      </c>
      <c r="B220" s="3" t="s">
        <v>51</v>
      </c>
      <c r="C220" s="3" t="s">
        <v>572</v>
      </c>
      <c r="D220" s="106" t="s">
        <v>573</v>
      </c>
      <c r="E220" s="107"/>
      <c r="F220" s="3" t="s">
        <v>83</v>
      </c>
      <c r="G220" s="38">
        <v>142.40020000000001</v>
      </c>
      <c r="H220" s="98"/>
      <c r="I220" s="39" t="s">
        <v>59</v>
      </c>
      <c r="J220" s="38">
        <f>G220*AO220</f>
        <v>0</v>
      </c>
      <c r="K220" s="38">
        <f>G220*AP220</f>
        <v>0</v>
      </c>
      <c r="L220" s="38">
        <f>G220*H220</f>
        <v>0</v>
      </c>
      <c r="M220" s="38">
        <f>L220*(1+BW220/100)</f>
        <v>0</v>
      </c>
      <c r="N220" s="38">
        <v>5.0299999999999997E-3</v>
      </c>
      <c r="O220" s="38">
        <f>G220*N220</f>
        <v>0.71627300599999999</v>
      </c>
      <c r="P220" s="40" t="s">
        <v>67</v>
      </c>
      <c r="Z220" s="38">
        <f>IF(AQ220="5",BJ220,0)</f>
        <v>0</v>
      </c>
      <c r="AB220" s="38">
        <f>IF(AQ220="1",BH220,0)</f>
        <v>0</v>
      </c>
      <c r="AC220" s="38">
        <f>IF(AQ220="1",BI220,0)</f>
        <v>0</v>
      </c>
      <c r="AD220" s="38">
        <f>IF(AQ220="7",BH220,0)</f>
        <v>0</v>
      </c>
      <c r="AE220" s="38">
        <f>IF(AQ220="7",BI220,0)</f>
        <v>0</v>
      </c>
      <c r="AF220" s="38">
        <f>IF(AQ220="2",BH220,0)</f>
        <v>0</v>
      </c>
      <c r="AG220" s="38">
        <f>IF(AQ220="2",BI220,0)</f>
        <v>0</v>
      </c>
      <c r="AH220" s="38">
        <f>IF(AQ220="0",BJ220,0)</f>
        <v>0</v>
      </c>
      <c r="AI220" s="13" t="s">
        <v>51</v>
      </c>
      <c r="AJ220" s="38">
        <f>IF(AN220=0,L220,0)</f>
        <v>0</v>
      </c>
      <c r="AK220" s="38">
        <f>IF(AN220=12,L220,0)</f>
        <v>0</v>
      </c>
      <c r="AL220" s="38">
        <f>IF(AN220=21,L220,0)</f>
        <v>0</v>
      </c>
      <c r="AN220" s="38">
        <v>21</v>
      </c>
      <c r="AO220" s="38">
        <f>H220*0.167055988</f>
        <v>0</v>
      </c>
      <c r="AP220" s="38">
        <f>H220*(1-0.167055988)</f>
        <v>0</v>
      </c>
      <c r="AQ220" s="39" t="s">
        <v>87</v>
      </c>
      <c r="AV220" s="38">
        <f>AW220+AX220</f>
        <v>0</v>
      </c>
      <c r="AW220" s="38">
        <f>G220*AO220</f>
        <v>0</v>
      </c>
      <c r="AX220" s="38">
        <f>G220*AP220</f>
        <v>0</v>
      </c>
      <c r="AY220" s="39" t="s">
        <v>574</v>
      </c>
      <c r="AZ220" s="39" t="s">
        <v>575</v>
      </c>
      <c r="BA220" s="13" t="s">
        <v>63</v>
      </c>
      <c r="BC220" s="38">
        <f>AW220+AX220</f>
        <v>0</v>
      </c>
      <c r="BD220" s="38">
        <f>H220/(100-BE220)*100</f>
        <v>0</v>
      </c>
      <c r="BE220" s="38">
        <v>0</v>
      </c>
      <c r="BF220" s="38">
        <f>O220</f>
        <v>0.71627300599999999</v>
      </c>
      <c r="BH220" s="38">
        <f>G220*AO220</f>
        <v>0</v>
      </c>
      <c r="BI220" s="38">
        <f>G220*AP220</f>
        <v>0</v>
      </c>
      <c r="BJ220" s="38">
        <f>G220*H220</f>
        <v>0</v>
      </c>
      <c r="BK220" s="38"/>
      <c r="BL220" s="38">
        <v>781</v>
      </c>
      <c r="BW220" s="38" t="str">
        <f>I220</f>
        <v>21</v>
      </c>
      <c r="BX220" s="5" t="s">
        <v>573</v>
      </c>
    </row>
    <row r="221" spans="1:76" x14ac:dyDescent="0.25">
      <c r="A221" s="41"/>
      <c r="C221" s="42" t="s">
        <v>78</v>
      </c>
      <c r="D221" s="178" t="s">
        <v>576</v>
      </c>
      <c r="E221" s="179"/>
      <c r="F221" s="179"/>
      <c r="G221" s="179"/>
      <c r="H221" s="179"/>
      <c r="I221" s="179"/>
      <c r="J221" s="179"/>
      <c r="K221" s="179"/>
      <c r="L221" s="179"/>
      <c r="M221" s="179"/>
      <c r="N221" s="179"/>
      <c r="O221" s="179"/>
      <c r="P221" s="180"/>
      <c r="BX221" s="43" t="s">
        <v>576</v>
      </c>
    </row>
    <row r="222" spans="1:76" x14ac:dyDescent="0.25">
      <c r="A222" s="2" t="s">
        <v>577</v>
      </c>
      <c r="B222" s="3" t="s">
        <v>51</v>
      </c>
      <c r="C222" s="3" t="s">
        <v>578</v>
      </c>
      <c r="D222" s="106" t="s">
        <v>579</v>
      </c>
      <c r="E222" s="107"/>
      <c r="F222" s="3" t="s">
        <v>83</v>
      </c>
      <c r="G222" s="38">
        <v>163.76023000000001</v>
      </c>
      <c r="H222" s="98"/>
      <c r="I222" s="39" t="s">
        <v>59</v>
      </c>
      <c r="J222" s="38">
        <f>G222*AO222</f>
        <v>0</v>
      </c>
      <c r="K222" s="38">
        <f>G222*AP222</f>
        <v>0</v>
      </c>
      <c r="L222" s="38">
        <f>G222*H222</f>
        <v>0</v>
      </c>
      <c r="M222" s="38">
        <f>L222*(1+BW222/100)</f>
        <v>0</v>
      </c>
      <c r="N222" s="38">
        <v>1.8499999999999999E-2</v>
      </c>
      <c r="O222" s="38">
        <f>G222*N222</f>
        <v>3.0295642549999999</v>
      </c>
      <c r="P222" s="40" t="s">
        <v>67</v>
      </c>
      <c r="Z222" s="38">
        <f>IF(AQ222="5",BJ222,0)</f>
        <v>0</v>
      </c>
      <c r="AB222" s="38">
        <f>IF(AQ222="1",BH222,0)</f>
        <v>0</v>
      </c>
      <c r="AC222" s="38">
        <f>IF(AQ222="1",BI222,0)</f>
        <v>0</v>
      </c>
      <c r="AD222" s="38">
        <f>IF(AQ222="7",BH222,0)</f>
        <v>0</v>
      </c>
      <c r="AE222" s="38">
        <f>IF(AQ222="7",BI222,0)</f>
        <v>0</v>
      </c>
      <c r="AF222" s="38">
        <f>IF(AQ222="2",BH222,0)</f>
        <v>0</v>
      </c>
      <c r="AG222" s="38">
        <f>IF(AQ222="2",BI222,0)</f>
        <v>0</v>
      </c>
      <c r="AH222" s="38">
        <f>IF(AQ222="0",BJ222,0)</f>
        <v>0</v>
      </c>
      <c r="AI222" s="13" t="s">
        <v>51</v>
      </c>
      <c r="AJ222" s="38">
        <f>IF(AN222=0,L222,0)</f>
        <v>0</v>
      </c>
      <c r="AK222" s="38">
        <f>IF(AN222=12,L222,0)</f>
        <v>0</v>
      </c>
      <c r="AL222" s="38">
        <f>IF(AN222=21,L222,0)</f>
        <v>0</v>
      </c>
      <c r="AN222" s="38">
        <v>21</v>
      </c>
      <c r="AO222" s="38">
        <f>H222*1</f>
        <v>0</v>
      </c>
      <c r="AP222" s="38">
        <f>H222*(1-1)</f>
        <v>0</v>
      </c>
      <c r="AQ222" s="39" t="s">
        <v>87</v>
      </c>
      <c r="AV222" s="38">
        <f>AW222+AX222</f>
        <v>0</v>
      </c>
      <c r="AW222" s="38">
        <f>G222*AO222</f>
        <v>0</v>
      </c>
      <c r="AX222" s="38">
        <f>G222*AP222</f>
        <v>0</v>
      </c>
      <c r="AY222" s="39" t="s">
        <v>574</v>
      </c>
      <c r="AZ222" s="39" t="s">
        <v>575</v>
      </c>
      <c r="BA222" s="13" t="s">
        <v>63</v>
      </c>
      <c r="BC222" s="38">
        <f>AW222+AX222</f>
        <v>0</v>
      </c>
      <c r="BD222" s="38">
        <f>H222/(100-BE222)*100</f>
        <v>0</v>
      </c>
      <c r="BE222" s="38">
        <v>0</v>
      </c>
      <c r="BF222" s="38">
        <f>O222</f>
        <v>3.0295642549999999</v>
      </c>
      <c r="BH222" s="38">
        <f>G222*AO222</f>
        <v>0</v>
      </c>
      <c r="BI222" s="38">
        <f>G222*AP222</f>
        <v>0</v>
      </c>
      <c r="BJ222" s="38">
        <f>G222*H222</f>
        <v>0</v>
      </c>
      <c r="BK222" s="38"/>
      <c r="BL222" s="38">
        <v>781</v>
      </c>
      <c r="BW222" s="38" t="str">
        <f>I222</f>
        <v>21</v>
      </c>
      <c r="BX222" s="5" t="s">
        <v>579</v>
      </c>
    </row>
    <row r="223" spans="1:76" x14ac:dyDescent="0.25">
      <c r="A223" s="2" t="s">
        <v>580</v>
      </c>
      <c r="B223" s="3" t="s">
        <v>51</v>
      </c>
      <c r="C223" s="3" t="s">
        <v>581</v>
      </c>
      <c r="D223" s="106" t="s">
        <v>582</v>
      </c>
      <c r="E223" s="107"/>
      <c r="F223" s="3" t="s">
        <v>83</v>
      </c>
      <c r="G223" s="38">
        <v>68.785179999999997</v>
      </c>
      <c r="H223" s="98"/>
      <c r="I223" s="39" t="s">
        <v>59</v>
      </c>
      <c r="J223" s="38">
        <f>G223*AO223</f>
        <v>0</v>
      </c>
      <c r="K223" s="38">
        <f>G223*AP223</f>
        <v>0</v>
      </c>
      <c r="L223" s="38">
        <f>G223*H223</f>
        <v>0</v>
      </c>
      <c r="M223" s="38">
        <f>L223*(1+BW223/100)</f>
        <v>0</v>
      </c>
      <c r="N223" s="38">
        <v>0</v>
      </c>
      <c r="O223" s="38">
        <f>G223*N223</f>
        <v>0</v>
      </c>
      <c r="P223" s="40" t="s">
        <v>60</v>
      </c>
      <c r="Z223" s="38">
        <f>IF(AQ223="5",BJ223,0)</f>
        <v>0</v>
      </c>
      <c r="AB223" s="38">
        <f>IF(AQ223="1",BH223,0)</f>
        <v>0</v>
      </c>
      <c r="AC223" s="38">
        <f>IF(AQ223="1",BI223,0)</f>
        <v>0</v>
      </c>
      <c r="AD223" s="38">
        <f>IF(AQ223="7",BH223,0)</f>
        <v>0</v>
      </c>
      <c r="AE223" s="38">
        <f>IF(AQ223="7",BI223,0)</f>
        <v>0</v>
      </c>
      <c r="AF223" s="38">
        <f>IF(AQ223="2",BH223,0)</f>
        <v>0</v>
      </c>
      <c r="AG223" s="38">
        <f>IF(AQ223="2",BI223,0)</f>
        <v>0</v>
      </c>
      <c r="AH223" s="38">
        <f>IF(AQ223="0",BJ223,0)</f>
        <v>0</v>
      </c>
      <c r="AI223" s="13" t="s">
        <v>51</v>
      </c>
      <c r="AJ223" s="38">
        <f>IF(AN223=0,L223,0)</f>
        <v>0</v>
      </c>
      <c r="AK223" s="38">
        <f>IF(AN223=12,L223,0)</f>
        <v>0</v>
      </c>
      <c r="AL223" s="38">
        <f>IF(AN223=21,L223,0)</f>
        <v>0</v>
      </c>
      <c r="AN223" s="38">
        <v>21</v>
      </c>
      <c r="AO223" s="38">
        <f>H223*0</f>
        <v>0</v>
      </c>
      <c r="AP223" s="38">
        <f>H223*(1-0)</f>
        <v>0</v>
      </c>
      <c r="AQ223" s="39" t="s">
        <v>87</v>
      </c>
      <c r="AV223" s="38">
        <f>AW223+AX223</f>
        <v>0</v>
      </c>
      <c r="AW223" s="38">
        <f>G223*AO223</f>
        <v>0</v>
      </c>
      <c r="AX223" s="38">
        <f>G223*AP223</f>
        <v>0</v>
      </c>
      <c r="AY223" s="39" t="s">
        <v>574</v>
      </c>
      <c r="AZ223" s="39" t="s">
        <v>575</v>
      </c>
      <c r="BA223" s="13" t="s">
        <v>63</v>
      </c>
      <c r="BC223" s="38">
        <f>AW223+AX223</f>
        <v>0</v>
      </c>
      <c r="BD223" s="38">
        <f>H223/(100-BE223)*100</f>
        <v>0</v>
      </c>
      <c r="BE223" s="38">
        <v>0</v>
      </c>
      <c r="BF223" s="38">
        <f>O223</f>
        <v>0</v>
      </c>
      <c r="BH223" s="38">
        <f>G223*AO223</f>
        <v>0</v>
      </c>
      <c r="BI223" s="38">
        <f>G223*AP223</f>
        <v>0</v>
      </c>
      <c r="BJ223" s="38">
        <f>G223*H223</f>
        <v>0</v>
      </c>
      <c r="BK223" s="38"/>
      <c r="BL223" s="38">
        <v>781</v>
      </c>
      <c r="BW223" s="38" t="str">
        <f>I223</f>
        <v>21</v>
      </c>
      <c r="BX223" s="5" t="s">
        <v>582</v>
      </c>
    </row>
    <row r="224" spans="1:76" x14ac:dyDescent="0.25">
      <c r="A224" s="2" t="s">
        <v>583</v>
      </c>
      <c r="B224" s="3" t="s">
        <v>51</v>
      </c>
      <c r="C224" s="3" t="s">
        <v>584</v>
      </c>
      <c r="D224" s="106" t="s">
        <v>585</v>
      </c>
      <c r="E224" s="107"/>
      <c r="F224" s="3" t="s">
        <v>108</v>
      </c>
      <c r="G224" s="38">
        <v>93.05</v>
      </c>
      <c r="H224" s="98"/>
      <c r="I224" s="39" t="s">
        <v>59</v>
      </c>
      <c r="J224" s="38">
        <f>G224*AO224</f>
        <v>0</v>
      </c>
      <c r="K224" s="38">
        <f>G224*AP224</f>
        <v>0</v>
      </c>
      <c r="L224" s="38">
        <f>G224*H224</f>
        <v>0</v>
      </c>
      <c r="M224" s="38">
        <f>L224*(1+BW224/100)</f>
        <v>0</v>
      </c>
      <c r="N224" s="38">
        <v>0</v>
      </c>
      <c r="O224" s="38">
        <f>G224*N224</f>
        <v>0</v>
      </c>
      <c r="P224" s="40" t="s">
        <v>60</v>
      </c>
      <c r="Z224" s="38">
        <f>IF(AQ224="5",BJ224,0)</f>
        <v>0</v>
      </c>
      <c r="AB224" s="38">
        <f>IF(AQ224="1",BH224,0)</f>
        <v>0</v>
      </c>
      <c r="AC224" s="38">
        <f>IF(AQ224="1",BI224,0)</f>
        <v>0</v>
      </c>
      <c r="AD224" s="38">
        <f>IF(AQ224="7",BH224,0)</f>
        <v>0</v>
      </c>
      <c r="AE224" s="38">
        <f>IF(AQ224="7",BI224,0)</f>
        <v>0</v>
      </c>
      <c r="AF224" s="38">
        <f>IF(AQ224="2",BH224,0)</f>
        <v>0</v>
      </c>
      <c r="AG224" s="38">
        <f>IF(AQ224="2",BI224,0)</f>
        <v>0</v>
      </c>
      <c r="AH224" s="38">
        <f>IF(AQ224="0",BJ224,0)</f>
        <v>0</v>
      </c>
      <c r="AI224" s="13" t="s">
        <v>51</v>
      </c>
      <c r="AJ224" s="38">
        <f>IF(AN224=0,L224,0)</f>
        <v>0</v>
      </c>
      <c r="AK224" s="38">
        <f>IF(AN224=12,L224,0)</f>
        <v>0</v>
      </c>
      <c r="AL224" s="38">
        <f>IF(AN224=21,L224,0)</f>
        <v>0</v>
      </c>
      <c r="AN224" s="38">
        <v>21</v>
      </c>
      <c r="AO224" s="38">
        <f>H224*0</f>
        <v>0</v>
      </c>
      <c r="AP224" s="38">
        <f>H224*(1-0)</f>
        <v>0</v>
      </c>
      <c r="AQ224" s="39" t="s">
        <v>87</v>
      </c>
      <c r="AV224" s="38">
        <f>AW224+AX224</f>
        <v>0</v>
      </c>
      <c r="AW224" s="38">
        <f>G224*AO224</f>
        <v>0</v>
      </c>
      <c r="AX224" s="38">
        <f>G224*AP224</f>
        <v>0</v>
      </c>
      <c r="AY224" s="39" t="s">
        <v>574</v>
      </c>
      <c r="AZ224" s="39" t="s">
        <v>575</v>
      </c>
      <c r="BA224" s="13" t="s">
        <v>63</v>
      </c>
      <c r="BC224" s="38">
        <f>AW224+AX224</f>
        <v>0</v>
      </c>
      <c r="BD224" s="38">
        <f>H224/(100-BE224)*100</f>
        <v>0</v>
      </c>
      <c r="BE224" s="38">
        <v>0</v>
      </c>
      <c r="BF224" s="38">
        <f>O224</f>
        <v>0</v>
      </c>
      <c r="BH224" s="38">
        <f>G224*AO224</f>
        <v>0</v>
      </c>
      <c r="BI224" s="38">
        <f>G224*AP224</f>
        <v>0</v>
      </c>
      <c r="BJ224" s="38">
        <f>G224*H224</f>
        <v>0</v>
      </c>
      <c r="BK224" s="38"/>
      <c r="BL224" s="38">
        <v>781</v>
      </c>
      <c r="BW224" s="38" t="str">
        <f>I224</f>
        <v>21</v>
      </c>
      <c r="BX224" s="5" t="s">
        <v>585</v>
      </c>
    </row>
    <row r="225" spans="1:76" ht="13.5" customHeight="1" x14ac:dyDescent="0.25">
      <c r="A225" s="41"/>
      <c r="C225" s="42" t="s">
        <v>97</v>
      </c>
      <c r="D225" s="178" t="s">
        <v>586</v>
      </c>
      <c r="E225" s="179"/>
      <c r="F225" s="179"/>
      <c r="G225" s="179"/>
      <c r="H225" s="179"/>
      <c r="I225" s="179"/>
      <c r="J225" s="179"/>
      <c r="K225" s="179"/>
      <c r="L225" s="179"/>
      <c r="M225" s="179"/>
      <c r="N225" s="179"/>
      <c r="O225" s="179"/>
      <c r="P225" s="180"/>
    </row>
    <row r="226" spans="1:76" x14ac:dyDescent="0.25">
      <c r="A226" s="2" t="s">
        <v>587</v>
      </c>
      <c r="B226" s="3" t="s">
        <v>51</v>
      </c>
      <c r="C226" s="3" t="s">
        <v>588</v>
      </c>
      <c r="D226" s="106" t="s">
        <v>589</v>
      </c>
      <c r="E226" s="107"/>
      <c r="F226" s="3" t="s">
        <v>108</v>
      </c>
      <c r="G226" s="38">
        <v>93.05</v>
      </c>
      <c r="H226" s="98"/>
      <c r="I226" s="39" t="s">
        <v>59</v>
      </c>
      <c r="J226" s="38">
        <f>G226*AO226</f>
        <v>0</v>
      </c>
      <c r="K226" s="38">
        <f>G226*AP226</f>
        <v>0</v>
      </c>
      <c r="L226" s="38">
        <f>G226*H226</f>
        <v>0</v>
      </c>
      <c r="M226" s="38">
        <f>L226*(1+BW226/100)</f>
        <v>0</v>
      </c>
      <c r="N226" s="38">
        <v>6.6E-4</v>
      </c>
      <c r="O226" s="38">
        <f>G226*N226</f>
        <v>6.1412999999999995E-2</v>
      </c>
      <c r="P226" s="40" t="s">
        <v>60</v>
      </c>
      <c r="Z226" s="38">
        <f>IF(AQ226="5",BJ226,0)</f>
        <v>0</v>
      </c>
      <c r="AB226" s="38">
        <f>IF(AQ226="1",BH226,0)</f>
        <v>0</v>
      </c>
      <c r="AC226" s="38">
        <f>IF(AQ226="1",BI226,0)</f>
        <v>0</v>
      </c>
      <c r="AD226" s="38">
        <f>IF(AQ226="7",BH226,0)</f>
        <v>0</v>
      </c>
      <c r="AE226" s="38">
        <f>IF(AQ226="7",BI226,0)</f>
        <v>0</v>
      </c>
      <c r="AF226" s="38">
        <f>IF(AQ226="2",BH226,0)</f>
        <v>0</v>
      </c>
      <c r="AG226" s="38">
        <f>IF(AQ226="2",BI226,0)</f>
        <v>0</v>
      </c>
      <c r="AH226" s="38">
        <f>IF(AQ226="0",BJ226,0)</f>
        <v>0</v>
      </c>
      <c r="AI226" s="13" t="s">
        <v>51</v>
      </c>
      <c r="AJ226" s="38">
        <f>IF(AN226=0,L226,0)</f>
        <v>0</v>
      </c>
      <c r="AK226" s="38">
        <f>IF(AN226=12,L226,0)</f>
        <v>0</v>
      </c>
      <c r="AL226" s="38">
        <f>IF(AN226=21,L226,0)</f>
        <v>0</v>
      </c>
      <c r="AN226" s="38">
        <v>21</v>
      </c>
      <c r="AO226" s="38">
        <f>H226*0.884918787</f>
        <v>0</v>
      </c>
      <c r="AP226" s="38">
        <f>H226*(1-0.884918787)</f>
        <v>0</v>
      </c>
      <c r="AQ226" s="39" t="s">
        <v>87</v>
      </c>
      <c r="AV226" s="38">
        <f>AW226+AX226</f>
        <v>0</v>
      </c>
      <c r="AW226" s="38">
        <f>G226*AO226</f>
        <v>0</v>
      </c>
      <c r="AX226" s="38">
        <f>G226*AP226</f>
        <v>0</v>
      </c>
      <c r="AY226" s="39" t="s">
        <v>574</v>
      </c>
      <c r="AZ226" s="39" t="s">
        <v>575</v>
      </c>
      <c r="BA226" s="13" t="s">
        <v>63</v>
      </c>
      <c r="BC226" s="38">
        <f>AW226+AX226</f>
        <v>0</v>
      </c>
      <c r="BD226" s="38">
        <f>H226/(100-BE226)*100</f>
        <v>0</v>
      </c>
      <c r="BE226" s="38">
        <v>0</v>
      </c>
      <c r="BF226" s="38">
        <f>O226</f>
        <v>6.1412999999999995E-2</v>
      </c>
      <c r="BH226" s="38">
        <f>G226*AO226</f>
        <v>0</v>
      </c>
      <c r="BI226" s="38">
        <f>G226*AP226</f>
        <v>0</v>
      </c>
      <c r="BJ226" s="38">
        <f>G226*H226</f>
        <v>0</v>
      </c>
      <c r="BK226" s="38"/>
      <c r="BL226" s="38">
        <v>781</v>
      </c>
      <c r="BW226" s="38" t="str">
        <f>I226</f>
        <v>21</v>
      </c>
      <c r="BX226" s="5" t="s">
        <v>589</v>
      </c>
    </row>
    <row r="227" spans="1:76" ht="13.5" customHeight="1" x14ac:dyDescent="0.25">
      <c r="A227" s="41"/>
      <c r="C227" s="42" t="s">
        <v>97</v>
      </c>
      <c r="D227" s="178" t="s">
        <v>590</v>
      </c>
      <c r="E227" s="179"/>
      <c r="F227" s="179"/>
      <c r="G227" s="179"/>
      <c r="H227" s="179"/>
      <c r="I227" s="179"/>
      <c r="J227" s="179"/>
      <c r="K227" s="179"/>
      <c r="L227" s="179"/>
      <c r="M227" s="179"/>
      <c r="N227" s="179"/>
      <c r="O227" s="179"/>
      <c r="P227" s="180"/>
    </row>
    <row r="228" spans="1:76" x14ac:dyDescent="0.25">
      <c r="A228" s="2" t="s">
        <v>591</v>
      </c>
      <c r="B228" s="3" t="s">
        <v>51</v>
      </c>
      <c r="C228" s="3" t="s">
        <v>592</v>
      </c>
      <c r="D228" s="106" t="s">
        <v>593</v>
      </c>
      <c r="E228" s="107"/>
      <c r="F228" s="3" t="s">
        <v>166</v>
      </c>
      <c r="G228" s="38">
        <v>3.8072499999999998</v>
      </c>
      <c r="H228" s="98"/>
      <c r="I228" s="39" t="s">
        <v>59</v>
      </c>
      <c r="J228" s="38">
        <f>G228*AO228</f>
        <v>0</v>
      </c>
      <c r="K228" s="38">
        <f>G228*AP228</f>
        <v>0</v>
      </c>
      <c r="L228" s="38">
        <f>G228*H228</f>
        <v>0</v>
      </c>
      <c r="M228" s="38">
        <f>L228*(1+BW228/100)</f>
        <v>0</v>
      </c>
      <c r="N228" s="38">
        <v>0</v>
      </c>
      <c r="O228" s="38">
        <f>G228*N228</f>
        <v>0</v>
      </c>
      <c r="P228" s="40" t="s">
        <v>60</v>
      </c>
      <c r="Z228" s="38">
        <f>IF(AQ228="5",BJ228,0)</f>
        <v>0</v>
      </c>
      <c r="AB228" s="38">
        <f>IF(AQ228="1",BH228,0)</f>
        <v>0</v>
      </c>
      <c r="AC228" s="38">
        <f>IF(AQ228="1",BI228,0)</f>
        <v>0</v>
      </c>
      <c r="AD228" s="38">
        <f>IF(AQ228="7",BH228,0)</f>
        <v>0</v>
      </c>
      <c r="AE228" s="38">
        <f>IF(AQ228="7",BI228,0)</f>
        <v>0</v>
      </c>
      <c r="AF228" s="38">
        <f>IF(AQ228="2",BH228,0)</f>
        <v>0</v>
      </c>
      <c r="AG228" s="38">
        <f>IF(AQ228="2",BI228,0)</f>
        <v>0</v>
      </c>
      <c r="AH228" s="38">
        <f>IF(AQ228="0",BJ228,0)</f>
        <v>0</v>
      </c>
      <c r="AI228" s="13" t="s">
        <v>51</v>
      </c>
      <c r="AJ228" s="38">
        <f>IF(AN228=0,L228,0)</f>
        <v>0</v>
      </c>
      <c r="AK228" s="38">
        <f>IF(AN228=12,L228,0)</f>
        <v>0</v>
      </c>
      <c r="AL228" s="38">
        <f>IF(AN228=21,L228,0)</f>
        <v>0</v>
      </c>
      <c r="AN228" s="38">
        <v>21</v>
      </c>
      <c r="AO228" s="38">
        <f>H228*0</f>
        <v>0</v>
      </c>
      <c r="AP228" s="38">
        <f>H228*(1-0)</f>
        <v>0</v>
      </c>
      <c r="AQ228" s="39" t="s">
        <v>80</v>
      </c>
      <c r="AV228" s="38">
        <f>AW228+AX228</f>
        <v>0</v>
      </c>
      <c r="AW228" s="38">
        <f>G228*AO228</f>
        <v>0</v>
      </c>
      <c r="AX228" s="38">
        <f>G228*AP228</f>
        <v>0</v>
      </c>
      <c r="AY228" s="39" t="s">
        <v>574</v>
      </c>
      <c r="AZ228" s="39" t="s">
        <v>575</v>
      </c>
      <c r="BA228" s="13" t="s">
        <v>63</v>
      </c>
      <c r="BC228" s="38">
        <f>AW228+AX228</f>
        <v>0</v>
      </c>
      <c r="BD228" s="38">
        <f>H228/(100-BE228)*100</f>
        <v>0</v>
      </c>
      <c r="BE228" s="38">
        <v>0</v>
      </c>
      <c r="BF228" s="38">
        <f>O228</f>
        <v>0</v>
      </c>
      <c r="BH228" s="38">
        <f>G228*AO228</f>
        <v>0</v>
      </c>
      <c r="BI228" s="38">
        <f>G228*AP228</f>
        <v>0</v>
      </c>
      <c r="BJ228" s="38">
        <f>G228*H228</f>
        <v>0</v>
      </c>
      <c r="BK228" s="38"/>
      <c r="BL228" s="38">
        <v>781</v>
      </c>
      <c r="BW228" s="38" t="str">
        <f>I228</f>
        <v>21</v>
      </c>
      <c r="BX228" s="5" t="s">
        <v>593</v>
      </c>
    </row>
    <row r="229" spans="1:76" x14ac:dyDescent="0.25">
      <c r="A229" s="33" t="s">
        <v>50</v>
      </c>
      <c r="B229" s="34" t="s">
        <v>51</v>
      </c>
      <c r="C229" s="34" t="s">
        <v>395</v>
      </c>
      <c r="D229" s="174" t="s">
        <v>594</v>
      </c>
      <c r="E229" s="175"/>
      <c r="F229" s="36" t="s">
        <v>4</v>
      </c>
      <c r="G229" s="36" t="s">
        <v>4</v>
      </c>
      <c r="H229" s="36" t="s">
        <v>4</v>
      </c>
      <c r="I229" s="36" t="s">
        <v>4</v>
      </c>
      <c r="J229" s="1">
        <f>SUM(J230:J230)</f>
        <v>0</v>
      </c>
      <c r="K229" s="1">
        <f>SUM(K230:K230)</f>
        <v>0</v>
      </c>
      <c r="L229" s="1">
        <f>SUM(L230:L230)</f>
        <v>0</v>
      </c>
      <c r="M229" s="1">
        <f>SUM(M230:M230)</f>
        <v>0</v>
      </c>
      <c r="N229" s="13" t="s">
        <v>50</v>
      </c>
      <c r="O229" s="1">
        <f>SUM(O230:O230)</f>
        <v>5.6640099999999999E-2</v>
      </c>
      <c r="P229" s="37" t="s">
        <v>50</v>
      </c>
      <c r="AI229" s="13" t="s">
        <v>51</v>
      </c>
      <c r="AS229" s="1">
        <f>SUM(AJ230:AJ230)</f>
        <v>0</v>
      </c>
      <c r="AT229" s="1">
        <f>SUM(AK230:AK230)</f>
        <v>0</v>
      </c>
      <c r="AU229" s="1">
        <f>SUM(AL230:AL230)</f>
        <v>0</v>
      </c>
    </row>
    <row r="230" spans="1:76" x14ac:dyDescent="0.25">
      <c r="A230" s="44" t="s">
        <v>595</v>
      </c>
      <c r="B230" s="45" t="s">
        <v>51</v>
      </c>
      <c r="C230" s="45" t="s">
        <v>596</v>
      </c>
      <c r="D230" s="176" t="s">
        <v>597</v>
      </c>
      <c r="E230" s="136"/>
      <c r="F230" s="45" t="s">
        <v>83</v>
      </c>
      <c r="G230" s="47">
        <v>46.81</v>
      </c>
      <c r="H230" s="99"/>
      <c r="I230" s="48" t="s">
        <v>59</v>
      </c>
      <c r="J230" s="47">
        <f>G230*AO230</f>
        <v>0</v>
      </c>
      <c r="K230" s="47">
        <f>G230*AP230</f>
        <v>0</v>
      </c>
      <c r="L230" s="47">
        <f>G230*H230</f>
        <v>0</v>
      </c>
      <c r="M230" s="47">
        <f>L230*(1+BW230/100)</f>
        <v>0</v>
      </c>
      <c r="N230" s="47">
        <v>1.2099999999999999E-3</v>
      </c>
      <c r="O230" s="47">
        <f>G230*N230</f>
        <v>5.6640099999999999E-2</v>
      </c>
      <c r="P230" s="49" t="s">
        <v>60</v>
      </c>
      <c r="Z230" s="38">
        <f>IF(AQ230="5",BJ230,0)</f>
        <v>0</v>
      </c>
      <c r="AB230" s="38">
        <f>IF(AQ230="1",BH230,0)</f>
        <v>0</v>
      </c>
      <c r="AC230" s="38">
        <f>IF(AQ230="1",BI230,0)</f>
        <v>0</v>
      </c>
      <c r="AD230" s="38">
        <f>IF(AQ230="7",BH230,0)</f>
        <v>0</v>
      </c>
      <c r="AE230" s="38">
        <f>IF(AQ230="7",BI230,0)</f>
        <v>0</v>
      </c>
      <c r="AF230" s="38">
        <f>IF(AQ230="2",BH230,0)</f>
        <v>0</v>
      </c>
      <c r="AG230" s="38">
        <f>IF(AQ230="2",BI230,0)</f>
        <v>0</v>
      </c>
      <c r="AH230" s="38">
        <f>IF(AQ230="0",BJ230,0)</f>
        <v>0</v>
      </c>
      <c r="AI230" s="13" t="s">
        <v>51</v>
      </c>
      <c r="AJ230" s="38">
        <f>IF(AN230=0,L230,0)</f>
        <v>0</v>
      </c>
      <c r="AK230" s="38">
        <f>IF(AN230=12,L230,0)</f>
        <v>0</v>
      </c>
      <c r="AL230" s="38">
        <f>IF(AN230=21,L230,0)</f>
        <v>0</v>
      </c>
      <c r="AN230" s="38">
        <v>21</v>
      </c>
      <c r="AO230" s="38">
        <f>H230*0.326186816</f>
        <v>0</v>
      </c>
      <c r="AP230" s="38">
        <f>H230*(1-0.326186816)</f>
        <v>0</v>
      </c>
      <c r="AQ230" s="39" t="s">
        <v>55</v>
      </c>
      <c r="AV230" s="38">
        <f>AW230+AX230</f>
        <v>0</v>
      </c>
      <c r="AW230" s="38">
        <f>G230*AO230</f>
        <v>0</v>
      </c>
      <c r="AX230" s="38">
        <f>G230*AP230</f>
        <v>0</v>
      </c>
      <c r="AY230" s="39" t="s">
        <v>598</v>
      </c>
      <c r="AZ230" s="39" t="s">
        <v>77</v>
      </c>
      <c r="BA230" s="13" t="s">
        <v>63</v>
      </c>
      <c r="BC230" s="38">
        <f>AW230+AX230</f>
        <v>0</v>
      </c>
      <c r="BD230" s="38">
        <f>H230/(100-BE230)*100</f>
        <v>0</v>
      </c>
      <c r="BE230" s="38">
        <v>0</v>
      </c>
      <c r="BF230" s="38">
        <f>O230</f>
        <v>5.6640099999999999E-2</v>
      </c>
      <c r="BH230" s="38">
        <f>G230*AO230</f>
        <v>0</v>
      </c>
      <c r="BI230" s="38">
        <f>G230*AP230</f>
        <v>0</v>
      </c>
      <c r="BJ230" s="38">
        <f>G230*H230</f>
        <v>0</v>
      </c>
      <c r="BK230" s="38"/>
      <c r="BL230" s="38">
        <v>94</v>
      </c>
      <c r="BW230" s="38" t="str">
        <f>I230</f>
        <v>21</v>
      </c>
      <c r="BX230" s="5" t="s">
        <v>597</v>
      </c>
    </row>
    <row r="231" spans="1:76" x14ac:dyDescent="0.25">
      <c r="J231" s="177" t="s">
        <v>599</v>
      </c>
      <c r="K231" s="177"/>
      <c r="L231" s="51">
        <f>L13+L17+L59+L90+L92+L100+L109+L118+L122+L128+L131+L151+L167+L194+L196+L198+L207+L214+L219+L229</f>
        <v>0</v>
      </c>
      <c r="M231" s="51">
        <f>M13+M17+M59+M90+M92+M100+M109+M118+M122+M128+M131+M151+M167+M194+M196+M198+M207+M214+M219+M229</f>
        <v>0</v>
      </c>
    </row>
    <row r="232" spans="1:76" x14ac:dyDescent="0.25">
      <c r="A232" s="52" t="s">
        <v>600</v>
      </c>
    </row>
    <row r="233" spans="1:76" ht="12.75" customHeight="1" x14ac:dyDescent="0.25">
      <c r="A233" s="106" t="s">
        <v>50</v>
      </c>
      <c r="B233" s="107"/>
      <c r="C233" s="107"/>
      <c r="D233" s="107"/>
      <c r="E233" s="107"/>
      <c r="F233" s="107"/>
      <c r="G233" s="107"/>
      <c r="H233" s="107"/>
      <c r="I233" s="107"/>
      <c r="J233" s="107"/>
      <c r="K233" s="107"/>
      <c r="L233" s="107"/>
      <c r="M233" s="107"/>
      <c r="N233" s="107"/>
      <c r="O233" s="107"/>
      <c r="P233" s="107"/>
    </row>
  </sheetData>
  <sheetProtection password="E9AE" sheet="1" objects="1" scenarios="1"/>
  <mergeCells count="250">
    <mergeCell ref="A1:P1"/>
    <mergeCell ref="A2:C3"/>
    <mergeCell ref="A4:C5"/>
    <mergeCell ref="A6:C7"/>
    <mergeCell ref="A8:C9"/>
    <mergeCell ref="F2:G3"/>
    <mergeCell ref="F4:G5"/>
    <mergeCell ref="F6:G7"/>
    <mergeCell ref="F8:G9"/>
    <mergeCell ref="I2:I3"/>
    <mergeCell ref="I4:I5"/>
    <mergeCell ref="I6:I7"/>
    <mergeCell ref="I8:I9"/>
    <mergeCell ref="D2:E3"/>
    <mergeCell ref="D4:E5"/>
    <mergeCell ref="D6:E7"/>
    <mergeCell ref="D11:E11"/>
    <mergeCell ref="J10:L10"/>
    <mergeCell ref="N10:O10"/>
    <mergeCell ref="D12:E12"/>
    <mergeCell ref="D13:E13"/>
    <mergeCell ref="J2:P3"/>
    <mergeCell ref="J4:P5"/>
    <mergeCell ref="J6:P7"/>
    <mergeCell ref="J8:P9"/>
    <mergeCell ref="D10:E10"/>
    <mergeCell ref="D8:E9"/>
    <mergeCell ref="H2:H3"/>
    <mergeCell ref="H4:H5"/>
    <mergeCell ref="H6:H7"/>
    <mergeCell ref="H8:H9"/>
    <mergeCell ref="D19:P19"/>
    <mergeCell ref="D20:E20"/>
    <mergeCell ref="D21:E21"/>
    <mergeCell ref="D22:E22"/>
    <mergeCell ref="D23:E23"/>
    <mergeCell ref="D14:E14"/>
    <mergeCell ref="D15:E15"/>
    <mergeCell ref="D16:E16"/>
    <mergeCell ref="D17:E17"/>
    <mergeCell ref="D18:E18"/>
    <mergeCell ref="D29:E29"/>
    <mergeCell ref="D30:E30"/>
    <mergeCell ref="D31:E31"/>
    <mergeCell ref="D32:E32"/>
    <mergeCell ref="D33:E33"/>
    <mergeCell ref="D24:P24"/>
    <mergeCell ref="D25:E25"/>
    <mergeCell ref="D26:P26"/>
    <mergeCell ref="D27:E27"/>
    <mergeCell ref="D28:E28"/>
    <mergeCell ref="D39:E39"/>
    <mergeCell ref="D40:E40"/>
    <mergeCell ref="D41:E41"/>
    <mergeCell ref="D42:P42"/>
    <mergeCell ref="D43:E43"/>
    <mergeCell ref="D34:P34"/>
    <mergeCell ref="D35:E35"/>
    <mergeCell ref="D36:P36"/>
    <mergeCell ref="D37:E37"/>
    <mergeCell ref="D38:E38"/>
    <mergeCell ref="D49:E49"/>
    <mergeCell ref="D50:E50"/>
    <mergeCell ref="D51:E51"/>
    <mergeCell ref="D52:E52"/>
    <mergeCell ref="D53:E53"/>
    <mergeCell ref="D44:E44"/>
    <mergeCell ref="D45:E45"/>
    <mergeCell ref="D46:E46"/>
    <mergeCell ref="D47:E47"/>
    <mergeCell ref="D48:E48"/>
    <mergeCell ref="D59:E59"/>
    <mergeCell ref="D60:E60"/>
    <mergeCell ref="D61:E61"/>
    <mergeCell ref="D62:E62"/>
    <mergeCell ref="D63:E63"/>
    <mergeCell ref="D54:E54"/>
    <mergeCell ref="D55:E55"/>
    <mergeCell ref="D56:E56"/>
    <mergeCell ref="D57:E57"/>
    <mergeCell ref="D58:E58"/>
    <mergeCell ref="D69:E69"/>
    <mergeCell ref="D70:P70"/>
    <mergeCell ref="D71:E71"/>
    <mergeCell ref="D72:P72"/>
    <mergeCell ref="D73:E73"/>
    <mergeCell ref="D64:P64"/>
    <mergeCell ref="D65:E65"/>
    <mergeCell ref="D66:P66"/>
    <mergeCell ref="D67:E67"/>
    <mergeCell ref="D68:P68"/>
    <mergeCell ref="D79:E79"/>
    <mergeCell ref="D80:P80"/>
    <mergeCell ref="D81:E81"/>
    <mergeCell ref="D82:P82"/>
    <mergeCell ref="D83:E83"/>
    <mergeCell ref="D74:P74"/>
    <mergeCell ref="D75:E75"/>
    <mergeCell ref="D76:P76"/>
    <mergeCell ref="D77:E77"/>
    <mergeCell ref="D78:P78"/>
    <mergeCell ref="D89:P89"/>
    <mergeCell ref="D90:E90"/>
    <mergeCell ref="D91:E91"/>
    <mergeCell ref="D92:E92"/>
    <mergeCell ref="D93:E93"/>
    <mergeCell ref="D84:P84"/>
    <mergeCell ref="D85:E85"/>
    <mergeCell ref="D86:E86"/>
    <mergeCell ref="D87:P87"/>
    <mergeCell ref="D88:E88"/>
    <mergeCell ref="D99:E99"/>
    <mergeCell ref="D100:E100"/>
    <mergeCell ref="D101:E101"/>
    <mergeCell ref="D102:P102"/>
    <mergeCell ref="D103:E103"/>
    <mergeCell ref="D94:P94"/>
    <mergeCell ref="D95:E95"/>
    <mergeCell ref="D96:E96"/>
    <mergeCell ref="D97:P97"/>
    <mergeCell ref="D98:E98"/>
    <mergeCell ref="D109:E109"/>
    <mergeCell ref="D110:E110"/>
    <mergeCell ref="D111:P111"/>
    <mergeCell ref="D112:E112"/>
    <mergeCell ref="D113:P113"/>
    <mergeCell ref="D104:E104"/>
    <mergeCell ref="D105:P105"/>
    <mergeCell ref="D106:E106"/>
    <mergeCell ref="D107:P107"/>
    <mergeCell ref="D108:E108"/>
    <mergeCell ref="D119:E119"/>
    <mergeCell ref="D120:E120"/>
    <mergeCell ref="D121:E121"/>
    <mergeCell ref="D122:E122"/>
    <mergeCell ref="D123:E123"/>
    <mergeCell ref="D114:P114"/>
    <mergeCell ref="D115:E115"/>
    <mergeCell ref="D116:P116"/>
    <mergeCell ref="D117:E117"/>
    <mergeCell ref="D118:E118"/>
    <mergeCell ref="D129:E129"/>
    <mergeCell ref="D130:P130"/>
    <mergeCell ref="D131:E131"/>
    <mergeCell ref="D132:E132"/>
    <mergeCell ref="D133:E133"/>
    <mergeCell ref="D124:P124"/>
    <mergeCell ref="D125:E125"/>
    <mergeCell ref="D126:P126"/>
    <mergeCell ref="D127:E127"/>
    <mergeCell ref="D128:E128"/>
    <mergeCell ref="D139:P139"/>
    <mergeCell ref="D140:E140"/>
    <mergeCell ref="D141:E141"/>
    <mergeCell ref="D142:E142"/>
    <mergeCell ref="D143:E143"/>
    <mergeCell ref="D134:E134"/>
    <mergeCell ref="D135:E135"/>
    <mergeCell ref="D136:E136"/>
    <mergeCell ref="D137:P137"/>
    <mergeCell ref="D138:E138"/>
    <mergeCell ref="D149:P149"/>
    <mergeCell ref="D150:E150"/>
    <mergeCell ref="D151:E151"/>
    <mergeCell ref="D152:E152"/>
    <mergeCell ref="D153:E153"/>
    <mergeCell ref="D144:P144"/>
    <mergeCell ref="D145:E145"/>
    <mergeCell ref="D146:E146"/>
    <mergeCell ref="D147:E147"/>
    <mergeCell ref="D148:E148"/>
    <mergeCell ref="D159:E159"/>
    <mergeCell ref="D160:E160"/>
    <mergeCell ref="D161:E161"/>
    <mergeCell ref="D162:E162"/>
    <mergeCell ref="D163:E163"/>
    <mergeCell ref="D154:E154"/>
    <mergeCell ref="D155:E155"/>
    <mergeCell ref="D156:E156"/>
    <mergeCell ref="D157:P157"/>
    <mergeCell ref="D158:E158"/>
    <mergeCell ref="D169:E169"/>
    <mergeCell ref="D170:P170"/>
    <mergeCell ref="D171:E171"/>
    <mergeCell ref="D172:E172"/>
    <mergeCell ref="D173:E173"/>
    <mergeCell ref="D164:E164"/>
    <mergeCell ref="D165:P165"/>
    <mergeCell ref="D166:E166"/>
    <mergeCell ref="D167:E167"/>
    <mergeCell ref="D168:E168"/>
    <mergeCell ref="D179:P179"/>
    <mergeCell ref="D180:E180"/>
    <mergeCell ref="D181:E181"/>
    <mergeCell ref="D182:E182"/>
    <mergeCell ref="D183:E183"/>
    <mergeCell ref="D174:P174"/>
    <mergeCell ref="D175:E175"/>
    <mergeCell ref="D176:E176"/>
    <mergeCell ref="D177:P177"/>
    <mergeCell ref="D178:E178"/>
    <mergeCell ref="D189:P189"/>
    <mergeCell ref="D190:E190"/>
    <mergeCell ref="D191:P191"/>
    <mergeCell ref="D192:E192"/>
    <mergeCell ref="D193:P193"/>
    <mergeCell ref="D184:P184"/>
    <mergeCell ref="D185:E185"/>
    <mergeCell ref="D186:E186"/>
    <mergeCell ref="D187:E187"/>
    <mergeCell ref="D188:E188"/>
    <mergeCell ref="D199:E199"/>
    <mergeCell ref="D200:E200"/>
    <mergeCell ref="D201:E201"/>
    <mergeCell ref="D202:E202"/>
    <mergeCell ref="D203:P203"/>
    <mergeCell ref="D194:E194"/>
    <mergeCell ref="D195:E195"/>
    <mergeCell ref="D196:E196"/>
    <mergeCell ref="D197:E197"/>
    <mergeCell ref="D198:E198"/>
    <mergeCell ref="D209:E209"/>
    <mergeCell ref="D210:E210"/>
    <mergeCell ref="D211:E211"/>
    <mergeCell ref="D212:E212"/>
    <mergeCell ref="D213:E213"/>
    <mergeCell ref="D204:E204"/>
    <mergeCell ref="D205:P205"/>
    <mergeCell ref="D206:E206"/>
    <mergeCell ref="D207:E207"/>
    <mergeCell ref="D208:E208"/>
    <mergeCell ref="D219:E219"/>
    <mergeCell ref="D220:E220"/>
    <mergeCell ref="D221:P221"/>
    <mergeCell ref="D222:E222"/>
    <mergeCell ref="D223:E223"/>
    <mergeCell ref="D214:E214"/>
    <mergeCell ref="D215:E215"/>
    <mergeCell ref="D216:E216"/>
    <mergeCell ref="D217:E217"/>
    <mergeCell ref="D218:E218"/>
    <mergeCell ref="D229:E229"/>
    <mergeCell ref="D230:E230"/>
    <mergeCell ref="J231:K231"/>
    <mergeCell ref="A233:P233"/>
    <mergeCell ref="D224:E224"/>
    <mergeCell ref="D225:P225"/>
    <mergeCell ref="D226:E226"/>
    <mergeCell ref="D227:P227"/>
    <mergeCell ref="D228:E228"/>
  </mergeCells>
  <pageMargins left="0.393999993801117" right="0.393999993801117" top="0.59100002050399802" bottom="0.59100002050399802" header="0" footer="0"/>
  <pageSetup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T243"/>
  <sheetViews>
    <sheetView workbookViewId="0">
      <selection activeCell="F4" sqref="F4:F5"/>
    </sheetView>
  </sheetViews>
  <sheetFormatPr defaultColWidth="12.140625" defaultRowHeight="15" customHeight="1" x14ac:dyDescent="0.25"/>
  <cols>
    <col min="1" max="1" width="4.28515625" customWidth="1"/>
    <col min="2" max="2" width="7.85546875" customWidth="1"/>
    <col min="3" max="3" width="17.140625" customWidth="1"/>
    <col min="4" max="4" width="71.42578125" customWidth="1"/>
    <col min="5" max="5" width="15.7109375" customWidth="1"/>
    <col min="6" max="6" width="69.85546875" customWidth="1"/>
    <col min="7" max="7" width="12.85546875" customWidth="1"/>
    <col min="8" max="11" width="22.85546875" customWidth="1"/>
    <col min="12" max="12" width="23.5703125" customWidth="1"/>
    <col min="13" max="13" width="22.140625" customWidth="1"/>
    <col min="230" max="231" width="12.140625" hidden="1"/>
    <col min="251" max="254" width="12.140625" hidden="1"/>
  </cols>
  <sheetData>
    <row r="1" spans="1:253" ht="54.75" customHeight="1" x14ac:dyDescent="0.25">
      <c r="A1" s="141" t="s">
        <v>0</v>
      </c>
      <c r="B1" s="141"/>
      <c r="C1" s="141"/>
      <c r="D1" s="141"/>
      <c r="E1" s="141"/>
      <c r="F1" s="141"/>
      <c r="G1" s="141"/>
      <c r="H1" s="141"/>
      <c r="I1" s="141"/>
      <c r="J1" s="141"/>
      <c r="K1" s="141"/>
      <c r="L1" s="141"/>
      <c r="M1" s="141"/>
    </row>
    <row r="2" spans="1:253" x14ac:dyDescent="0.25">
      <c r="A2" s="142" t="s">
        <v>1</v>
      </c>
      <c r="B2" s="143"/>
      <c r="C2" s="143"/>
      <c r="D2" s="148" t="str">
        <f>'Stavební rozpočet'!D2</f>
        <v>KD K-trio-Oprava sociálních zařízení a šaten</v>
      </c>
      <c r="E2" s="143" t="s">
        <v>3</v>
      </c>
      <c r="F2" s="139" t="str">
        <f>'Stavební rozpočet'!H2</f>
        <v xml:space="preserve"> </v>
      </c>
      <c r="G2" s="139" t="s">
        <v>5</v>
      </c>
      <c r="H2" s="139" t="str">
        <f>'Stavební rozpočet'!J2</f>
        <v> </v>
      </c>
      <c r="I2" s="143"/>
      <c r="J2" s="143"/>
      <c r="K2" s="143"/>
      <c r="L2" s="143"/>
      <c r="M2" s="145"/>
    </row>
    <row r="3" spans="1:253" ht="15" customHeight="1" x14ac:dyDescent="0.25">
      <c r="A3" s="144"/>
      <c r="B3" s="107"/>
      <c r="C3" s="107"/>
      <c r="D3" s="150"/>
      <c r="E3" s="107"/>
      <c r="F3" s="107"/>
      <c r="G3" s="107"/>
      <c r="H3" s="107"/>
      <c r="I3" s="107"/>
      <c r="J3" s="107"/>
      <c r="K3" s="107"/>
      <c r="L3" s="107"/>
      <c r="M3" s="146"/>
    </row>
    <row r="4" spans="1:253" x14ac:dyDescent="0.25">
      <c r="A4" s="137" t="s">
        <v>7</v>
      </c>
      <c r="B4" s="107"/>
      <c r="C4" s="107"/>
      <c r="D4" s="106" t="str">
        <f>'Stavební rozpočet'!D4</f>
        <v xml:space="preserve"> </v>
      </c>
      <c r="E4" s="107" t="s">
        <v>8</v>
      </c>
      <c r="F4" s="106"/>
      <c r="G4" s="106" t="s">
        <v>9</v>
      </c>
      <c r="H4" s="106" t="str">
        <f>'Stavební rozpočet'!J4</f>
        <v> </v>
      </c>
      <c r="I4" s="107"/>
      <c r="J4" s="107"/>
      <c r="K4" s="107"/>
      <c r="L4" s="107"/>
      <c r="M4" s="146"/>
    </row>
    <row r="5" spans="1:253" ht="15" customHeight="1" x14ac:dyDescent="0.25">
      <c r="A5" s="144"/>
      <c r="B5" s="107"/>
      <c r="C5" s="107"/>
      <c r="D5" s="107"/>
      <c r="E5" s="107"/>
      <c r="F5" s="107"/>
      <c r="G5" s="107"/>
      <c r="H5" s="107"/>
      <c r="I5" s="107"/>
      <c r="J5" s="107"/>
      <c r="K5" s="107"/>
      <c r="L5" s="107"/>
      <c r="M5" s="146"/>
    </row>
    <row r="6" spans="1:253" x14ac:dyDescent="0.25">
      <c r="A6" s="137" t="s">
        <v>10</v>
      </c>
      <c r="B6" s="107"/>
      <c r="C6" s="107"/>
      <c r="D6" s="106" t="str">
        <f>'Stavební rozpočet'!D6</f>
        <v xml:space="preserve"> </v>
      </c>
      <c r="E6" s="107" t="s">
        <v>11</v>
      </c>
      <c r="F6" s="106" t="str">
        <f>'Stavební rozpočet'!H6</f>
        <v xml:space="preserve"> </v>
      </c>
      <c r="G6" s="106" t="s">
        <v>12</v>
      </c>
      <c r="H6" s="106" t="str">
        <f>'Stavební rozpočet'!J6</f>
        <v> </v>
      </c>
      <c r="I6" s="107"/>
      <c r="J6" s="107"/>
      <c r="K6" s="107"/>
      <c r="L6" s="107"/>
      <c r="M6" s="146"/>
    </row>
    <row r="7" spans="1:253" ht="15" customHeight="1" x14ac:dyDescent="0.25">
      <c r="A7" s="144"/>
      <c r="B7" s="107"/>
      <c r="C7" s="107"/>
      <c r="D7" s="107"/>
      <c r="E7" s="107"/>
      <c r="F7" s="107"/>
      <c r="G7" s="107"/>
      <c r="H7" s="107"/>
      <c r="I7" s="107"/>
      <c r="J7" s="107"/>
      <c r="K7" s="107"/>
      <c r="L7" s="107"/>
      <c r="M7" s="146"/>
    </row>
    <row r="8" spans="1:253" x14ac:dyDescent="0.25">
      <c r="A8" s="137" t="s">
        <v>13</v>
      </c>
      <c r="B8" s="107"/>
      <c r="C8" s="107"/>
      <c r="D8" s="106" t="str">
        <f>'Stavební rozpočet'!D8</f>
        <v xml:space="preserve"> </v>
      </c>
      <c r="E8" s="107" t="s">
        <v>14</v>
      </c>
      <c r="F8" s="106"/>
      <c r="G8" s="106" t="s">
        <v>15</v>
      </c>
      <c r="H8" s="106" t="str">
        <f>'Stavební rozpočet'!J8</f>
        <v> </v>
      </c>
      <c r="I8" s="107"/>
      <c r="J8" s="107"/>
      <c r="K8" s="107"/>
      <c r="L8" s="107"/>
      <c r="M8" s="146"/>
    </row>
    <row r="9" spans="1:253" x14ac:dyDescent="0.25">
      <c r="A9" s="138"/>
      <c r="B9" s="136"/>
      <c r="C9" s="136"/>
      <c r="D9" s="136"/>
      <c r="E9" s="136"/>
      <c r="F9" s="136"/>
      <c r="G9" s="136"/>
      <c r="H9" s="136"/>
      <c r="I9" s="136"/>
      <c r="J9" s="136"/>
      <c r="K9" s="136"/>
      <c r="L9" s="136"/>
      <c r="M9" s="132"/>
    </row>
    <row r="10" spans="1:253" x14ac:dyDescent="0.25">
      <c r="A10" s="53" t="s">
        <v>16</v>
      </c>
      <c r="B10" s="53" t="s">
        <v>17</v>
      </c>
      <c r="C10" s="53" t="s">
        <v>18</v>
      </c>
      <c r="D10" s="53" t="s">
        <v>19</v>
      </c>
      <c r="E10" s="53" t="s">
        <v>20</v>
      </c>
      <c r="F10" s="53" t="s">
        <v>30</v>
      </c>
      <c r="G10" s="53" t="s">
        <v>21</v>
      </c>
      <c r="H10" s="53" t="s">
        <v>601</v>
      </c>
      <c r="I10" s="53" t="s">
        <v>602</v>
      </c>
      <c r="J10" s="53" t="s">
        <v>603</v>
      </c>
      <c r="K10" s="53" t="s">
        <v>604</v>
      </c>
      <c r="L10" s="53" t="s">
        <v>605</v>
      </c>
      <c r="M10" s="54" t="s">
        <v>606</v>
      </c>
      <c r="HV10" s="55" t="s">
        <v>28</v>
      </c>
      <c r="HW10" s="55" t="s">
        <v>27</v>
      </c>
    </row>
    <row r="11" spans="1:253" x14ac:dyDescent="0.25">
      <c r="A11" s="56" t="s">
        <v>4</v>
      </c>
      <c r="B11" s="27" t="s">
        <v>51</v>
      </c>
      <c r="C11" s="27" t="s">
        <v>50</v>
      </c>
      <c r="D11" s="28" t="s">
        <v>52</v>
      </c>
      <c r="E11" s="27" t="s">
        <v>4</v>
      </c>
      <c r="F11" s="27" t="s">
        <v>4</v>
      </c>
      <c r="G11" s="31" t="s">
        <v>4</v>
      </c>
      <c r="H11" s="31" t="s">
        <v>4</v>
      </c>
      <c r="I11" s="30">
        <f>I12+I16+I76+I94+I96+I104+I111+I125+I129+I135+I138+I156+I175+I198+I200+I202+I209+I216+I221+I240</f>
        <v>0</v>
      </c>
      <c r="J11" s="30">
        <f>J12+J16+J76+J94+J96+J104+J111+J125+J129+J135+J138+J156+J175+J198+J200+J202+J209+J216+J221+J240</f>
        <v>0</v>
      </c>
      <c r="K11" s="30">
        <f>K12+K16+K76+K94+K96+K104+K111+K125+K129+K135+K138+K156+K175+K198+K200+K202+K209+K216+K221+K240</f>
        <v>0</v>
      </c>
      <c r="L11" s="31" t="s">
        <v>4</v>
      </c>
      <c r="M11" s="57">
        <f>M12+M16+M76+M94+M96+M104+M111+M125+M129+M135+M138+M156+M175+M198+M200+M202+M209+M216+M221+M240</f>
        <v>33.342039407999998</v>
      </c>
    </row>
    <row r="12" spans="1:253" x14ac:dyDescent="0.25">
      <c r="A12" s="58" t="s">
        <v>4</v>
      </c>
      <c r="B12" s="34" t="s">
        <v>51</v>
      </c>
      <c r="C12" s="34" t="s">
        <v>53</v>
      </c>
      <c r="D12" s="35" t="s">
        <v>54</v>
      </c>
      <c r="E12" s="34" t="s">
        <v>4</v>
      </c>
      <c r="F12" s="34" t="s">
        <v>4</v>
      </c>
      <c r="G12" s="13" t="s">
        <v>4</v>
      </c>
      <c r="H12" s="13" t="s">
        <v>4</v>
      </c>
      <c r="I12" s="1">
        <f>SUM(I13:I15)</f>
        <v>0</v>
      </c>
      <c r="J12" s="1">
        <f>SUM(J13:J15)</f>
        <v>0</v>
      </c>
      <c r="K12" s="1">
        <f>SUM(K13:K15)</f>
        <v>0</v>
      </c>
      <c r="L12" s="13" t="s">
        <v>4</v>
      </c>
      <c r="M12" s="59">
        <f>SUM(M13:M15)</f>
        <v>1.6537499999999998</v>
      </c>
    </row>
    <row r="13" spans="1:253" x14ac:dyDescent="0.25">
      <c r="A13" s="60">
        <v>1</v>
      </c>
      <c r="B13" s="3" t="s">
        <v>51</v>
      </c>
      <c r="C13" s="3" t="s">
        <v>56</v>
      </c>
      <c r="D13" s="5" t="s">
        <v>57</v>
      </c>
      <c r="E13" s="3" t="s">
        <v>58</v>
      </c>
      <c r="F13" s="3" t="s">
        <v>607</v>
      </c>
      <c r="G13" s="38">
        <f>'Stavební rozpočet'!G14</f>
        <v>7</v>
      </c>
      <c r="H13" s="38">
        <f>'Stavební rozpočet'!H14</f>
        <v>0</v>
      </c>
      <c r="I13" s="38">
        <f>IR13*G13</f>
        <v>0</v>
      </c>
      <c r="J13" s="38">
        <f>IS13*G13</f>
        <v>0</v>
      </c>
      <c r="K13" s="38">
        <f>IR13*G13+IS13*G13</f>
        <v>0</v>
      </c>
      <c r="L13" s="38">
        <f>'Stavební rozpočet'!N14</f>
        <v>7.1300000000000001E-3</v>
      </c>
      <c r="M13" s="61">
        <f>L13*G13</f>
        <v>4.9910000000000003E-2</v>
      </c>
      <c r="HV13" s="3" t="s">
        <v>53</v>
      </c>
      <c r="HW13" s="3" t="s">
        <v>608</v>
      </c>
      <c r="IR13" s="62">
        <f>H13*0.051323829</f>
        <v>0</v>
      </c>
      <c r="IS13" s="62">
        <f>H13*(1-0.051323829)</f>
        <v>0</v>
      </c>
    </row>
    <row r="14" spans="1:253" x14ac:dyDescent="0.25">
      <c r="A14" s="60">
        <v>2</v>
      </c>
      <c r="B14" s="3" t="s">
        <v>51</v>
      </c>
      <c r="C14" s="3" t="s">
        <v>65</v>
      </c>
      <c r="D14" s="5" t="s">
        <v>66</v>
      </c>
      <c r="E14" s="3" t="s">
        <v>58</v>
      </c>
      <c r="F14" s="3" t="s">
        <v>609</v>
      </c>
      <c r="G14" s="38">
        <f>'Stavební rozpočet'!G15</f>
        <v>6</v>
      </c>
      <c r="H14" s="38">
        <f>'Stavební rozpočet'!H15</f>
        <v>0</v>
      </c>
      <c r="I14" s="38">
        <f>IR14*G14</f>
        <v>0</v>
      </c>
      <c r="J14" s="38">
        <f>IS14*G14</f>
        <v>0</v>
      </c>
      <c r="K14" s="38">
        <f>IR14*G14+IS14*G14</f>
        <v>0</v>
      </c>
      <c r="L14" s="38">
        <f>'Stavební rozpočet'!N15</f>
        <v>0.22911999999999999</v>
      </c>
      <c r="M14" s="61">
        <f>L14*G14</f>
        <v>1.3747199999999999</v>
      </c>
      <c r="HV14" s="3" t="s">
        <v>53</v>
      </c>
      <c r="HW14" s="3" t="s">
        <v>608</v>
      </c>
      <c r="IR14" s="62">
        <f>H14*0.421704498</f>
        <v>0</v>
      </c>
      <c r="IS14" s="62">
        <f>H14*(1-0.421704498)</f>
        <v>0</v>
      </c>
    </row>
    <row r="15" spans="1:253" x14ac:dyDescent="0.25">
      <c r="A15" s="60">
        <v>3</v>
      </c>
      <c r="B15" s="3" t="s">
        <v>51</v>
      </c>
      <c r="C15" s="3" t="s">
        <v>69</v>
      </c>
      <c r="D15" s="5" t="s">
        <v>70</v>
      </c>
      <c r="E15" s="3" t="s">
        <v>58</v>
      </c>
      <c r="F15" s="3" t="s">
        <v>610</v>
      </c>
      <c r="G15" s="38">
        <f>'Stavební rozpočet'!G16</f>
        <v>1</v>
      </c>
      <c r="H15" s="38">
        <f>'Stavební rozpočet'!H16</f>
        <v>0</v>
      </c>
      <c r="I15" s="38">
        <f>IR15*G15</f>
        <v>0</v>
      </c>
      <c r="J15" s="38">
        <f>IS15*G15</f>
        <v>0</v>
      </c>
      <c r="K15" s="38">
        <f>IR15*G15+IS15*G15</f>
        <v>0</v>
      </c>
      <c r="L15" s="38">
        <f>'Stavební rozpočet'!N16</f>
        <v>0.22911999999999999</v>
      </c>
      <c r="M15" s="61">
        <f>L15*G15</f>
        <v>0.22911999999999999</v>
      </c>
      <c r="HV15" s="3" t="s">
        <v>53</v>
      </c>
      <c r="HW15" s="3" t="s">
        <v>608</v>
      </c>
      <c r="IR15" s="62">
        <f>H15*0.416684606</f>
        <v>0</v>
      </c>
      <c r="IS15" s="62">
        <f>H15*(1-0.416684606)</f>
        <v>0</v>
      </c>
    </row>
    <row r="16" spans="1:253" x14ac:dyDescent="0.25">
      <c r="A16" s="58" t="s">
        <v>4</v>
      </c>
      <c r="B16" s="34" t="s">
        <v>51</v>
      </c>
      <c r="C16" s="34" t="s">
        <v>71</v>
      </c>
      <c r="D16" s="35" t="s">
        <v>72</v>
      </c>
      <c r="E16" s="34" t="s">
        <v>4</v>
      </c>
      <c r="F16" s="34" t="s">
        <v>4</v>
      </c>
      <c r="G16" s="13" t="s">
        <v>4</v>
      </c>
      <c r="H16" s="13" t="s">
        <v>4</v>
      </c>
      <c r="I16" s="1">
        <f>SUM(I17:I75)</f>
        <v>0</v>
      </c>
      <c r="J16" s="1">
        <f>SUM(J17:J75)</f>
        <v>0</v>
      </c>
      <c r="K16" s="1">
        <f>SUM(K17:K75)</f>
        <v>0</v>
      </c>
      <c r="L16" s="13" t="s">
        <v>4</v>
      </c>
      <c r="M16" s="59">
        <f>SUM(M17:M75)</f>
        <v>18.673143827500006</v>
      </c>
    </row>
    <row r="17" spans="1:253" x14ac:dyDescent="0.25">
      <c r="A17" s="60">
        <v>4</v>
      </c>
      <c r="B17" s="3" t="s">
        <v>51</v>
      </c>
      <c r="C17" s="3" t="s">
        <v>74</v>
      </c>
      <c r="D17" s="5" t="s">
        <v>75</v>
      </c>
      <c r="E17" s="3" t="s">
        <v>58</v>
      </c>
      <c r="F17" s="3" t="s">
        <v>611</v>
      </c>
      <c r="G17" s="38">
        <f>'Stavební rozpočet'!G18</f>
        <v>16</v>
      </c>
      <c r="H17" s="38">
        <f>'Stavební rozpočet'!H18</f>
        <v>0</v>
      </c>
      <c r="I17" s="38">
        <f>IR17*G17</f>
        <v>0</v>
      </c>
      <c r="J17" s="38">
        <f>IS17*G17</f>
        <v>0</v>
      </c>
      <c r="K17" s="38">
        <f>IR17*G17+IS17*G17</f>
        <v>0</v>
      </c>
      <c r="L17" s="38">
        <f>'Stavební rozpočet'!N18</f>
        <v>0</v>
      </c>
      <c r="M17" s="61">
        <f>L17*G17</f>
        <v>0</v>
      </c>
      <c r="HV17" s="3" t="s">
        <v>71</v>
      </c>
      <c r="HW17" s="3" t="s">
        <v>608</v>
      </c>
      <c r="IR17" s="62">
        <f>H17*0</f>
        <v>0</v>
      </c>
      <c r="IS17" s="62">
        <f>H17*(1-0)</f>
        <v>0</v>
      </c>
    </row>
    <row r="18" spans="1:253" x14ac:dyDescent="0.25">
      <c r="A18" s="60">
        <v>5</v>
      </c>
      <c r="B18" s="3" t="s">
        <v>51</v>
      </c>
      <c r="C18" s="3" t="s">
        <v>81</v>
      </c>
      <c r="D18" s="5" t="s">
        <v>82</v>
      </c>
      <c r="E18" s="3" t="s">
        <v>83</v>
      </c>
      <c r="F18" s="3" t="s">
        <v>612</v>
      </c>
      <c r="G18" s="38">
        <f>'Stavební rozpočet'!G20</f>
        <v>3.36</v>
      </c>
      <c r="H18" s="38">
        <f>'Stavební rozpočet'!H20</f>
        <v>0</v>
      </c>
      <c r="I18" s="38">
        <f>IR18*G18</f>
        <v>0</v>
      </c>
      <c r="J18" s="38">
        <f>IS18*G18</f>
        <v>0</v>
      </c>
      <c r="K18" s="38">
        <f>IR18*G18+IS18*G18</f>
        <v>0</v>
      </c>
      <c r="L18" s="38">
        <f>'Stavební rozpočet'!N20</f>
        <v>8.9169999999999999E-2</v>
      </c>
      <c r="M18" s="61">
        <f>L18*G18</f>
        <v>0.29961119999999997</v>
      </c>
      <c r="HV18" s="3" t="s">
        <v>71</v>
      </c>
      <c r="HW18" s="3" t="s">
        <v>608</v>
      </c>
      <c r="IR18" s="62">
        <f>H18*0.107115987</f>
        <v>0</v>
      </c>
      <c r="IS18" s="62">
        <f>H18*(1-0.107115987)</f>
        <v>0</v>
      </c>
    </row>
    <row r="19" spans="1:253" x14ac:dyDescent="0.25">
      <c r="A19" s="60">
        <v>6</v>
      </c>
      <c r="B19" s="3" t="s">
        <v>51</v>
      </c>
      <c r="C19" s="3" t="s">
        <v>85</v>
      </c>
      <c r="D19" s="5" t="s">
        <v>86</v>
      </c>
      <c r="E19" s="3" t="s">
        <v>83</v>
      </c>
      <c r="F19" s="3" t="s">
        <v>613</v>
      </c>
      <c r="G19" s="38">
        <f>'Stavební rozpočet'!G21</f>
        <v>3.2</v>
      </c>
      <c r="H19" s="38">
        <f>'Stavební rozpočet'!H21</f>
        <v>0</v>
      </c>
      <c r="I19" s="38">
        <f>IR19*G19</f>
        <v>0</v>
      </c>
      <c r="J19" s="38">
        <f>IS19*G19</f>
        <v>0</v>
      </c>
      <c r="K19" s="38">
        <f>IR19*G19+IS19*G19</f>
        <v>0</v>
      </c>
      <c r="L19" s="38">
        <f>'Stavební rozpočet'!N21</f>
        <v>7.7170000000000002E-2</v>
      </c>
      <c r="M19" s="61">
        <f>L19*G19</f>
        <v>0.24694400000000002</v>
      </c>
      <c r="HV19" s="3" t="s">
        <v>71</v>
      </c>
      <c r="HW19" s="3" t="s">
        <v>608</v>
      </c>
      <c r="IR19" s="62">
        <f>H19*0.066868885</f>
        <v>0</v>
      </c>
      <c r="IS19" s="62">
        <f>H19*(1-0.066868885)</f>
        <v>0</v>
      </c>
    </row>
    <row r="20" spans="1:253" x14ac:dyDescent="0.25">
      <c r="A20" s="60">
        <v>7</v>
      </c>
      <c r="B20" s="3" t="s">
        <v>51</v>
      </c>
      <c r="C20" s="3" t="s">
        <v>88</v>
      </c>
      <c r="D20" s="5" t="s">
        <v>89</v>
      </c>
      <c r="E20" s="3" t="s">
        <v>83</v>
      </c>
      <c r="F20" s="3" t="s">
        <v>614</v>
      </c>
      <c r="G20" s="38">
        <f>'Stavební rozpočet'!G22</f>
        <v>0.96</v>
      </c>
      <c r="H20" s="38">
        <f>'Stavební rozpočet'!H22</f>
        <v>0</v>
      </c>
      <c r="I20" s="38">
        <f>IR20*G20</f>
        <v>0</v>
      </c>
      <c r="J20" s="38">
        <f>IS20*G20</f>
        <v>0</v>
      </c>
      <c r="K20" s="38">
        <f>IR20*G20+IS20*G20</f>
        <v>0</v>
      </c>
      <c r="L20" s="38">
        <f>'Stavební rozpočet'!N22</f>
        <v>5.8999999999999997E-2</v>
      </c>
      <c r="M20" s="61">
        <f>L20*G20</f>
        <v>5.6639999999999996E-2</v>
      </c>
      <c r="HV20" s="3" t="s">
        <v>71</v>
      </c>
      <c r="HW20" s="3" t="s">
        <v>608</v>
      </c>
      <c r="IR20" s="62">
        <f>H20*0</f>
        <v>0</v>
      </c>
      <c r="IS20" s="62">
        <f>H20*(1-0)</f>
        <v>0</v>
      </c>
    </row>
    <row r="21" spans="1:253" x14ac:dyDescent="0.25">
      <c r="A21" s="60">
        <v>8</v>
      </c>
      <c r="B21" s="3" t="s">
        <v>51</v>
      </c>
      <c r="C21" s="3" t="s">
        <v>91</v>
      </c>
      <c r="D21" s="5" t="s">
        <v>92</v>
      </c>
      <c r="E21" s="3" t="s">
        <v>83</v>
      </c>
      <c r="F21" s="3" t="s">
        <v>615</v>
      </c>
      <c r="G21" s="38">
        <f>'Stavební rozpočet'!G23</f>
        <v>50.805750000000003</v>
      </c>
      <c r="H21" s="38">
        <f>'Stavební rozpočet'!H23</f>
        <v>0</v>
      </c>
      <c r="I21" s="38">
        <f>IR21*G21</f>
        <v>0</v>
      </c>
      <c r="J21" s="38">
        <f>IS21*G21</f>
        <v>0</v>
      </c>
      <c r="K21" s="38">
        <f>IR21*G21+IS21*G21</f>
        <v>0</v>
      </c>
      <c r="L21" s="38">
        <f>'Stavební rozpočet'!N23</f>
        <v>1.1010000000000001E-2</v>
      </c>
      <c r="M21" s="61">
        <f>L21*G21</f>
        <v>0.55937130750000008</v>
      </c>
      <c r="HV21" s="3" t="s">
        <v>71</v>
      </c>
      <c r="HW21" s="3" t="s">
        <v>608</v>
      </c>
      <c r="IR21" s="62">
        <f t="shared" ref="IR21:IR26" si="0">H21*0.081092437</f>
        <v>0</v>
      </c>
      <c r="IS21" s="62">
        <f t="shared" ref="IS21:IS26" si="1">H21*(1-0.081092437)</f>
        <v>0</v>
      </c>
    </row>
    <row r="22" spans="1:253" x14ac:dyDescent="0.25">
      <c r="A22" s="144" t="s">
        <v>50</v>
      </c>
      <c r="B22" s="107"/>
      <c r="C22" s="107"/>
      <c r="D22" s="107"/>
      <c r="E22" s="107"/>
      <c r="F22" s="3" t="s">
        <v>616</v>
      </c>
      <c r="G22" s="38">
        <v>17.57</v>
      </c>
      <c r="H22" s="38">
        <f>'Stavební rozpočet'!H23</f>
        <v>0</v>
      </c>
      <c r="M22" s="63"/>
      <c r="HV22" s="3" t="s">
        <v>71</v>
      </c>
      <c r="HW22" s="3" t="s">
        <v>608</v>
      </c>
      <c r="IR22" s="62">
        <f t="shared" si="0"/>
        <v>0</v>
      </c>
      <c r="IS22" s="62">
        <f t="shared" si="1"/>
        <v>0</v>
      </c>
    </row>
    <row r="23" spans="1:253" x14ac:dyDescent="0.25">
      <c r="A23" s="144" t="s">
        <v>50</v>
      </c>
      <c r="B23" s="107"/>
      <c r="C23" s="107"/>
      <c r="D23" s="107"/>
      <c r="E23" s="107"/>
      <c r="F23" s="3" t="s">
        <v>617</v>
      </c>
      <c r="G23" s="38">
        <v>5.43</v>
      </c>
      <c r="H23" s="38">
        <f>'Stavební rozpočet'!H23</f>
        <v>0</v>
      </c>
      <c r="M23" s="63"/>
      <c r="HV23" s="3" t="s">
        <v>71</v>
      </c>
      <c r="HW23" s="3" t="s">
        <v>608</v>
      </c>
      <c r="IR23" s="62">
        <f t="shared" si="0"/>
        <v>0</v>
      </c>
      <c r="IS23" s="62">
        <f t="shared" si="1"/>
        <v>0</v>
      </c>
    </row>
    <row r="24" spans="1:253" x14ac:dyDescent="0.25">
      <c r="A24" s="144" t="s">
        <v>50</v>
      </c>
      <c r="B24" s="107"/>
      <c r="C24" s="107"/>
      <c r="D24" s="107"/>
      <c r="E24" s="107"/>
      <c r="F24" s="3" t="s">
        <v>618</v>
      </c>
      <c r="G24" s="38">
        <v>4.63</v>
      </c>
      <c r="H24" s="38">
        <f>'Stavební rozpočet'!H23</f>
        <v>0</v>
      </c>
      <c r="M24" s="63"/>
      <c r="HV24" s="3" t="s">
        <v>71</v>
      </c>
      <c r="HW24" s="3" t="s">
        <v>608</v>
      </c>
      <c r="IR24" s="62">
        <f t="shared" si="0"/>
        <v>0</v>
      </c>
      <c r="IS24" s="62">
        <f t="shared" si="1"/>
        <v>0</v>
      </c>
    </row>
    <row r="25" spans="1:253" x14ac:dyDescent="0.25">
      <c r="A25" s="144" t="s">
        <v>50</v>
      </c>
      <c r="B25" s="107"/>
      <c r="C25" s="107"/>
      <c r="D25" s="107"/>
      <c r="E25" s="107"/>
      <c r="F25" s="3" t="s">
        <v>619</v>
      </c>
      <c r="G25" s="38">
        <v>15.31</v>
      </c>
      <c r="H25" s="38">
        <f>'Stavební rozpočet'!H23</f>
        <v>0</v>
      </c>
      <c r="M25" s="63"/>
      <c r="HV25" s="3" t="s">
        <v>71</v>
      </c>
      <c r="HW25" s="3" t="s">
        <v>608</v>
      </c>
      <c r="IR25" s="62">
        <f t="shared" si="0"/>
        <v>0</v>
      </c>
      <c r="IS25" s="62">
        <f t="shared" si="1"/>
        <v>0</v>
      </c>
    </row>
    <row r="26" spans="1:253" x14ac:dyDescent="0.25">
      <c r="A26" s="144" t="s">
        <v>50</v>
      </c>
      <c r="B26" s="107"/>
      <c r="C26" s="107"/>
      <c r="D26" s="107"/>
      <c r="E26" s="107"/>
      <c r="F26" s="3" t="s">
        <v>620</v>
      </c>
      <c r="G26" s="38">
        <v>4</v>
      </c>
      <c r="H26" s="38">
        <f>'Stavební rozpočet'!H23</f>
        <v>0</v>
      </c>
      <c r="M26" s="63"/>
      <c r="HV26" s="3" t="s">
        <v>71</v>
      </c>
      <c r="HW26" s="3" t="s">
        <v>608</v>
      </c>
      <c r="IR26" s="62">
        <f t="shared" si="0"/>
        <v>0</v>
      </c>
      <c r="IS26" s="62">
        <f t="shared" si="1"/>
        <v>0</v>
      </c>
    </row>
    <row r="27" spans="1:253" x14ac:dyDescent="0.25">
      <c r="A27" s="60">
        <v>9</v>
      </c>
      <c r="B27" s="3" t="s">
        <v>51</v>
      </c>
      <c r="C27" s="3" t="s">
        <v>95</v>
      </c>
      <c r="D27" s="5" t="s">
        <v>96</v>
      </c>
      <c r="E27" s="3" t="s">
        <v>83</v>
      </c>
      <c r="F27" s="3" t="s">
        <v>621</v>
      </c>
      <c r="G27" s="38">
        <f>'Stavební rozpočet'!G25</f>
        <v>46.81</v>
      </c>
      <c r="H27" s="38">
        <f>'Stavební rozpočet'!H25</f>
        <v>0</v>
      </c>
      <c r="I27" s="38">
        <f>IR27*G27</f>
        <v>0</v>
      </c>
      <c r="J27" s="38">
        <f>IS27*G27</f>
        <v>0</v>
      </c>
      <c r="K27" s="38">
        <f>IR27*G27+IS27*G27</f>
        <v>0</v>
      </c>
      <c r="L27" s="38">
        <f>'Stavební rozpočet'!N25</f>
        <v>0.02</v>
      </c>
      <c r="M27" s="61">
        <f>L27*G27</f>
        <v>0.93620000000000003</v>
      </c>
      <c r="HV27" s="3" t="s">
        <v>71</v>
      </c>
      <c r="HW27" s="3" t="s">
        <v>608</v>
      </c>
      <c r="IR27" s="62">
        <f>H27*0</f>
        <v>0</v>
      </c>
      <c r="IS27" s="62">
        <f>H27*(1-0)</f>
        <v>0</v>
      </c>
    </row>
    <row r="28" spans="1:253" ht="13.5" customHeight="1" x14ac:dyDescent="0.25">
      <c r="A28" s="41"/>
      <c r="D28" s="5" t="s">
        <v>98</v>
      </c>
      <c r="M28" s="63"/>
    </row>
    <row r="29" spans="1:253" x14ac:dyDescent="0.25">
      <c r="A29" s="144" t="s">
        <v>50</v>
      </c>
      <c r="B29" s="107"/>
      <c r="C29" s="107"/>
      <c r="D29" s="107"/>
      <c r="E29" s="107"/>
      <c r="F29" s="3" t="s">
        <v>616</v>
      </c>
      <c r="G29" s="38">
        <v>17.57</v>
      </c>
      <c r="H29" s="38">
        <f>'Stavební rozpočet'!H25</f>
        <v>0</v>
      </c>
      <c r="M29" s="63"/>
      <c r="HV29" s="3" t="s">
        <v>71</v>
      </c>
      <c r="HW29" s="3" t="s">
        <v>608</v>
      </c>
      <c r="IR29" s="62">
        <f t="shared" ref="IR29:IR38" si="2">H29*0</f>
        <v>0</v>
      </c>
      <c r="IS29" s="62">
        <f t="shared" ref="IS29:IS38" si="3">H29*(1-0)</f>
        <v>0</v>
      </c>
    </row>
    <row r="30" spans="1:253" x14ac:dyDescent="0.25">
      <c r="A30" s="144" t="s">
        <v>50</v>
      </c>
      <c r="B30" s="107"/>
      <c r="C30" s="107"/>
      <c r="D30" s="107"/>
      <c r="E30" s="107"/>
      <c r="F30" s="3" t="s">
        <v>617</v>
      </c>
      <c r="G30" s="38">
        <v>5.43</v>
      </c>
      <c r="H30" s="38">
        <f>'Stavební rozpočet'!H25</f>
        <v>0</v>
      </c>
      <c r="M30" s="63"/>
      <c r="HV30" s="3" t="s">
        <v>71</v>
      </c>
      <c r="HW30" s="3" t="s">
        <v>608</v>
      </c>
      <c r="IR30" s="62">
        <f t="shared" si="2"/>
        <v>0</v>
      </c>
      <c r="IS30" s="62">
        <f t="shared" si="3"/>
        <v>0</v>
      </c>
    </row>
    <row r="31" spans="1:253" x14ac:dyDescent="0.25">
      <c r="A31" s="144" t="s">
        <v>50</v>
      </c>
      <c r="B31" s="107"/>
      <c r="C31" s="107"/>
      <c r="D31" s="107"/>
      <c r="E31" s="107"/>
      <c r="F31" s="3" t="s">
        <v>619</v>
      </c>
      <c r="G31" s="38">
        <v>15.31</v>
      </c>
      <c r="H31" s="38">
        <f>'Stavební rozpočet'!H25</f>
        <v>0</v>
      </c>
      <c r="M31" s="63"/>
      <c r="HV31" s="3" t="s">
        <v>71</v>
      </c>
      <c r="HW31" s="3" t="s">
        <v>608</v>
      </c>
      <c r="IR31" s="62">
        <f t="shared" si="2"/>
        <v>0</v>
      </c>
      <c r="IS31" s="62">
        <f t="shared" si="3"/>
        <v>0</v>
      </c>
    </row>
    <row r="32" spans="1:253" x14ac:dyDescent="0.25">
      <c r="A32" s="144" t="s">
        <v>50</v>
      </c>
      <c r="B32" s="107"/>
      <c r="C32" s="107"/>
      <c r="D32" s="107"/>
      <c r="E32" s="107"/>
      <c r="F32" s="3" t="s">
        <v>618</v>
      </c>
      <c r="G32" s="38">
        <v>4.63</v>
      </c>
      <c r="H32" s="38">
        <f>'Stavební rozpočet'!H25</f>
        <v>0</v>
      </c>
      <c r="M32" s="63"/>
      <c r="HV32" s="3" t="s">
        <v>71</v>
      </c>
      <c r="HW32" s="3" t="s">
        <v>608</v>
      </c>
      <c r="IR32" s="62">
        <f t="shared" si="2"/>
        <v>0</v>
      </c>
      <c r="IS32" s="62">
        <f t="shared" si="3"/>
        <v>0</v>
      </c>
    </row>
    <row r="33" spans="1:253" x14ac:dyDescent="0.25">
      <c r="A33" s="60">
        <v>10</v>
      </c>
      <c r="B33" s="3" t="s">
        <v>51</v>
      </c>
      <c r="C33" s="3" t="s">
        <v>100</v>
      </c>
      <c r="D33" s="5" t="s">
        <v>101</v>
      </c>
      <c r="E33" s="3" t="s">
        <v>83</v>
      </c>
      <c r="F33" s="3" t="s">
        <v>622</v>
      </c>
      <c r="G33" s="38">
        <f>'Stavební rozpočet'!G27</f>
        <v>46.81</v>
      </c>
      <c r="H33" s="38">
        <f>'Stavební rozpočet'!H27</f>
        <v>0</v>
      </c>
      <c r="I33" s="38">
        <f>IR33*G33</f>
        <v>0</v>
      </c>
      <c r="J33" s="38">
        <f>IS33*G33</f>
        <v>0</v>
      </c>
      <c r="K33" s="38">
        <f>IR33*G33+IS33*G33</f>
        <v>0</v>
      </c>
      <c r="L33" s="38">
        <f>'Stavební rozpočet'!N27</f>
        <v>2.5510000000000001E-2</v>
      </c>
      <c r="M33" s="61">
        <f>L33*G33</f>
        <v>1.1941231000000001</v>
      </c>
      <c r="HV33" s="3" t="s">
        <v>71</v>
      </c>
      <c r="HW33" s="3" t="s">
        <v>608</v>
      </c>
      <c r="IR33" s="62">
        <f t="shared" si="2"/>
        <v>0</v>
      </c>
      <c r="IS33" s="62">
        <f t="shared" si="3"/>
        <v>0</v>
      </c>
    </row>
    <row r="34" spans="1:253" x14ac:dyDescent="0.25">
      <c r="A34" s="60">
        <v>11</v>
      </c>
      <c r="B34" s="3" t="s">
        <v>51</v>
      </c>
      <c r="C34" s="3" t="s">
        <v>103</v>
      </c>
      <c r="D34" s="5" t="s">
        <v>104</v>
      </c>
      <c r="E34" s="3" t="s">
        <v>83</v>
      </c>
      <c r="F34" s="3" t="s">
        <v>623</v>
      </c>
      <c r="G34" s="38">
        <f>'Stavební rozpočet'!G28</f>
        <v>142.40020000000001</v>
      </c>
      <c r="H34" s="38">
        <f>'Stavební rozpočet'!H28</f>
        <v>0</v>
      </c>
      <c r="I34" s="38">
        <f>IR34*G34</f>
        <v>0</v>
      </c>
      <c r="J34" s="38">
        <f>IS34*G34</f>
        <v>0</v>
      </c>
      <c r="K34" s="38">
        <f>IR34*G34+IS34*G34</f>
        <v>0</v>
      </c>
      <c r="L34" s="38">
        <f>'Stavební rozpočet'!N28</f>
        <v>6.8000000000000005E-2</v>
      </c>
      <c r="M34" s="61">
        <f>L34*G34</f>
        <v>9.683213600000002</v>
      </c>
      <c r="HV34" s="3" t="s">
        <v>71</v>
      </c>
      <c r="HW34" s="3" t="s">
        <v>608</v>
      </c>
      <c r="IR34" s="62">
        <f t="shared" si="2"/>
        <v>0</v>
      </c>
      <c r="IS34" s="62">
        <f t="shared" si="3"/>
        <v>0</v>
      </c>
    </row>
    <row r="35" spans="1:253" x14ac:dyDescent="0.25">
      <c r="A35" s="144" t="s">
        <v>50</v>
      </c>
      <c r="B35" s="107"/>
      <c r="C35" s="107"/>
      <c r="D35" s="107"/>
      <c r="E35" s="107"/>
      <c r="F35" s="3" t="s">
        <v>624</v>
      </c>
      <c r="G35" s="38">
        <v>43.094000000000001</v>
      </c>
      <c r="H35" s="38">
        <f>'Stavební rozpočet'!H28</f>
        <v>0</v>
      </c>
      <c r="M35" s="63"/>
      <c r="HV35" s="3" t="s">
        <v>71</v>
      </c>
      <c r="HW35" s="3" t="s">
        <v>608</v>
      </c>
      <c r="IR35" s="62">
        <f t="shared" si="2"/>
        <v>0</v>
      </c>
      <c r="IS35" s="62">
        <f t="shared" si="3"/>
        <v>0</v>
      </c>
    </row>
    <row r="36" spans="1:253" x14ac:dyDescent="0.25">
      <c r="A36" s="144" t="s">
        <v>50</v>
      </c>
      <c r="B36" s="107"/>
      <c r="C36" s="107"/>
      <c r="D36" s="107"/>
      <c r="E36" s="107"/>
      <c r="F36" s="3" t="s">
        <v>625</v>
      </c>
      <c r="G36" s="38">
        <v>20.595199999999998</v>
      </c>
      <c r="H36" s="38">
        <f>'Stavební rozpočet'!H28</f>
        <v>0</v>
      </c>
      <c r="M36" s="63"/>
      <c r="HV36" s="3" t="s">
        <v>71</v>
      </c>
      <c r="HW36" s="3" t="s">
        <v>608</v>
      </c>
      <c r="IR36" s="62">
        <f t="shared" si="2"/>
        <v>0</v>
      </c>
      <c r="IS36" s="62">
        <f t="shared" si="3"/>
        <v>0</v>
      </c>
    </row>
    <row r="37" spans="1:253" x14ac:dyDescent="0.25">
      <c r="A37" s="144" t="s">
        <v>50</v>
      </c>
      <c r="B37" s="107"/>
      <c r="C37" s="107"/>
      <c r="D37" s="107"/>
      <c r="E37" s="107"/>
      <c r="F37" s="3" t="s">
        <v>626</v>
      </c>
      <c r="G37" s="38">
        <v>39.493000000000002</v>
      </c>
      <c r="H37" s="38">
        <f>'Stavební rozpočet'!H28</f>
        <v>0</v>
      </c>
      <c r="M37" s="63"/>
      <c r="HV37" s="3" t="s">
        <v>71</v>
      </c>
      <c r="HW37" s="3" t="s">
        <v>608</v>
      </c>
      <c r="IR37" s="62">
        <f t="shared" si="2"/>
        <v>0</v>
      </c>
      <c r="IS37" s="62">
        <f t="shared" si="3"/>
        <v>0</v>
      </c>
    </row>
    <row r="38" spans="1:253" x14ac:dyDescent="0.25">
      <c r="A38" s="144" t="s">
        <v>50</v>
      </c>
      <c r="B38" s="107"/>
      <c r="C38" s="107"/>
      <c r="D38" s="107"/>
      <c r="E38" s="107"/>
      <c r="F38" s="3" t="s">
        <v>627</v>
      </c>
      <c r="G38" s="38">
        <v>21.643999999999998</v>
      </c>
      <c r="H38" s="38">
        <f>'Stavební rozpočet'!H28</f>
        <v>0</v>
      </c>
      <c r="M38" s="63"/>
      <c r="HV38" s="3" t="s">
        <v>71</v>
      </c>
      <c r="HW38" s="3" t="s">
        <v>608</v>
      </c>
      <c r="IR38" s="62">
        <f t="shared" si="2"/>
        <v>0</v>
      </c>
      <c r="IS38" s="62">
        <f t="shared" si="3"/>
        <v>0</v>
      </c>
    </row>
    <row r="39" spans="1:253" x14ac:dyDescent="0.25">
      <c r="A39" s="60">
        <v>12</v>
      </c>
      <c r="B39" s="3" t="s">
        <v>51</v>
      </c>
      <c r="C39" s="3" t="s">
        <v>106</v>
      </c>
      <c r="D39" s="5" t="s">
        <v>107</v>
      </c>
      <c r="E39" s="3" t="s">
        <v>108</v>
      </c>
      <c r="F39" s="3" t="s">
        <v>628</v>
      </c>
      <c r="G39" s="38">
        <f>'Stavební rozpočet'!G29</f>
        <v>7.6</v>
      </c>
      <c r="H39" s="38">
        <f>'Stavební rozpočet'!H29</f>
        <v>0</v>
      </c>
      <c r="I39" s="38">
        <f>IR39*G39</f>
        <v>0</v>
      </c>
      <c r="J39" s="38">
        <f>IS39*G39</f>
        <v>0</v>
      </c>
      <c r="K39" s="38">
        <f>IR39*G39+IS39*G39</f>
        <v>0</v>
      </c>
      <c r="L39" s="38">
        <f>'Stavební rozpočet'!N29</f>
        <v>4.6000000000000001E-4</v>
      </c>
      <c r="M39" s="61">
        <f>L39*G39</f>
        <v>3.496E-3</v>
      </c>
      <c r="HV39" s="3" t="s">
        <v>71</v>
      </c>
      <c r="HW39" s="3" t="s">
        <v>608</v>
      </c>
      <c r="IR39" s="62">
        <f>H39*0.117660695</f>
        <v>0</v>
      </c>
      <c r="IS39" s="62">
        <f>H39*(1-0.117660695)</f>
        <v>0</v>
      </c>
    </row>
    <row r="40" spans="1:253" x14ac:dyDescent="0.25">
      <c r="A40" s="60">
        <v>13</v>
      </c>
      <c r="B40" s="3" t="s">
        <v>51</v>
      </c>
      <c r="C40" s="3" t="s">
        <v>110</v>
      </c>
      <c r="D40" s="5" t="s">
        <v>111</v>
      </c>
      <c r="E40" s="3" t="s">
        <v>83</v>
      </c>
      <c r="F40" s="3" t="s">
        <v>629</v>
      </c>
      <c r="G40" s="38">
        <f>'Stavební rozpočet'!G30</f>
        <v>9.766</v>
      </c>
      <c r="H40" s="38">
        <f>'Stavební rozpočet'!H30</f>
        <v>0</v>
      </c>
      <c r="I40" s="38">
        <f>IR40*G40</f>
        <v>0</v>
      </c>
      <c r="J40" s="38">
        <f>IS40*G40</f>
        <v>0</v>
      </c>
      <c r="K40" s="38">
        <f>IR40*G40+IS40*G40</f>
        <v>0</v>
      </c>
      <c r="L40" s="38">
        <f>'Stavební rozpočet'!N30</f>
        <v>0.13367000000000001</v>
      </c>
      <c r="M40" s="61">
        <f>L40*G40</f>
        <v>1.3054212200000002</v>
      </c>
      <c r="HV40" s="3" t="s">
        <v>71</v>
      </c>
      <c r="HW40" s="3" t="s">
        <v>608</v>
      </c>
      <c r="IR40" s="62">
        <f>H40*0.153596838</f>
        <v>0</v>
      </c>
      <c r="IS40" s="62">
        <f>H40*(1-0.153596838)</f>
        <v>0</v>
      </c>
    </row>
    <row r="41" spans="1:253" x14ac:dyDescent="0.25">
      <c r="A41" s="60">
        <v>14</v>
      </c>
      <c r="B41" s="3" t="s">
        <v>51</v>
      </c>
      <c r="C41" s="3" t="s">
        <v>113</v>
      </c>
      <c r="D41" s="5" t="s">
        <v>114</v>
      </c>
      <c r="E41" s="3" t="s">
        <v>108</v>
      </c>
      <c r="F41" s="3" t="s">
        <v>630</v>
      </c>
      <c r="G41" s="38">
        <f>'Stavební rozpočet'!G31</f>
        <v>0.25</v>
      </c>
      <c r="H41" s="38">
        <f>'Stavební rozpočet'!H31</f>
        <v>0</v>
      </c>
      <c r="I41" s="38">
        <f>IR41*G41</f>
        <v>0</v>
      </c>
      <c r="J41" s="38">
        <f>IS41*G41</f>
        <v>0</v>
      </c>
      <c r="K41" s="38">
        <f>IR41*G41+IS41*G41</f>
        <v>0</v>
      </c>
      <c r="L41" s="38">
        <f>'Stavební rozpočet'!N31</f>
        <v>3.5090000000000003E-2</v>
      </c>
      <c r="M41" s="61">
        <f>L41*G41</f>
        <v>8.7725000000000008E-3</v>
      </c>
      <c r="HV41" s="3" t="s">
        <v>71</v>
      </c>
      <c r="HW41" s="3" t="s">
        <v>608</v>
      </c>
      <c r="IR41" s="62">
        <f>H41*0.310686684</f>
        <v>0</v>
      </c>
      <c r="IS41" s="62">
        <f>H41*(1-0.310686684)</f>
        <v>0</v>
      </c>
    </row>
    <row r="42" spans="1:253" x14ac:dyDescent="0.25">
      <c r="A42" s="60">
        <v>15</v>
      </c>
      <c r="B42" s="3" t="s">
        <v>51</v>
      </c>
      <c r="C42" s="3" t="s">
        <v>116</v>
      </c>
      <c r="D42" s="5" t="s">
        <v>117</v>
      </c>
      <c r="E42" s="3" t="s">
        <v>108</v>
      </c>
      <c r="F42" s="3" t="s">
        <v>631</v>
      </c>
      <c r="G42" s="38">
        <f>'Stavební rozpočet'!G32</f>
        <v>33.799999999999997</v>
      </c>
      <c r="H42" s="38">
        <f>'Stavební rozpočet'!H32</f>
        <v>0</v>
      </c>
      <c r="I42" s="38">
        <f>IR42*G42</f>
        <v>0</v>
      </c>
      <c r="J42" s="38">
        <f>IS42*G42</f>
        <v>0</v>
      </c>
      <c r="K42" s="38">
        <f>IR42*G42+IS42*G42</f>
        <v>0</v>
      </c>
      <c r="L42" s="38">
        <f>'Stavební rozpočet'!N32</f>
        <v>1.949E-2</v>
      </c>
      <c r="M42" s="61">
        <f>L42*G42</f>
        <v>0.65876199999999996</v>
      </c>
      <c r="HV42" s="3" t="s">
        <v>71</v>
      </c>
      <c r="HW42" s="3" t="s">
        <v>608</v>
      </c>
      <c r="IR42" s="62">
        <f>H42*0.073972885</f>
        <v>0</v>
      </c>
      <c r="IS42" s="62">
        <f>H42*(1-0.073972885)</f>
        <v>0</v>
      </c>
    </row>
    <row r="43" spans="1:253" x14ac:dyDescent="0.25">
      <c r="A43" s="144" t="s">
        <v>50</v>
      </c>
      <c r="B43" s="107"/>
      <c r="C43" s="107"/>
      <c r="D43" s="107"/>
      <c r="E43" s="107"/>
      <c r="F43" s="3" t="s">
        <v>632</v>
      </c>
      <c r="G43" s="38">
        <v>7.1</v>
      </c>
      <c r="H43" s="38">
        <f>'Stavební rozpočet'!H32</f>
        <v>0</v>
      </c>
      <c r="M43" s="63"/>
      <c r="HV43" s="3" t="s">
        <v>71</v>
      </c>
      <c r="HW43" s="3" t="s">
        <v>608</v>
      </c>
      <c r="IR43" s="62">
        <f>H43*0.073972885</f>
        <v>0</v>
      </c>
      <c r="IS43" s="62">
        <f>H43*(1-0.073972885)</f>
        <v>0</v>
      </c>
    </row>
    <row r="44" spans="1:253" x14ac:dyDescent="0.25">
      <c r="A44" s="60">
        <v>16</v>
      </c>
      <c r="B44" s="3" t="s">
        <v>51</v>
      </c>
      <c r="C44" s="3" t="s">
        <v>119</v>
      </c>
      <c r="D44" s="5" t="s">
        <v>120</v>
      </c>
      <c r="E44" s="3" t="s">
        <v>83</v>
      </c>
      <c r="F44" s="3" t="s">
        <v>633</v>
      </c>
      <c r="G44" s="38">
        <f>'Stavební rozpočet'!G33</f>
        <v>6.2549999999999999</v>
      </c>
      <c r="H44" s="38">
        <f>'Stavební rozpočet'!H33</f>
        <v>0</v>
      </c>
      <c r="I44" s="38">
        <f>IR44*G44</f>
        <v>0</v>
      </c>
      <c r="J44" s="38">
        <f>IS44*G44</f>
        <v>0</v>
      </c>
      <c r="K44" s="38">
        <f>IR44*G44+IS44*G44</f>
        <v>0</v>
      </c>
      <c r="L44" s="38">
        <f>'Stavební rozpočet'!N33</f>
        <v>0.27054</v>
      </c>
      <c r="M44" s="61">
        <f>L44*G44</f>
        <v>1.6922276999999999</v>
      </c>
      <c r="HV44" s="3" t="s">
        <v>71</v>
      </c>
      <c r="HW44" s="3" t="s">
        <v>608</v>
      </c>
      <c r="IR44" s="62">
        <f>H44*0.067292111</f>
        <v>0</v>
      </c>
      <c r="IS44" s="62">
        <f>H44*(1-0.067292111)</f>
        <v>0</v>
      </c>
    </row>
    <row r="45" spans="1:253" x14ac:dyDescent="0.25">
      <c r="A45" s="144" t="s">
        <v>50</v>
      </c>
      <c r="B45" s="107"/>
      <c r="C45" s="107"/>
      <c r="D45" s="107"/>
      <c r="E45" s="107"/>
      <c r="F45" s="3" t="s">
        <v>634</v>
      </c>
      <c r="G45" s="38">
        <v>2.085</v>
      </c>
      <c r="H45" s="38">
        <f>'Stavební rozpočet'!H33</f>
        <v>0</v>
      </c>
      <c r="M45" s="63"/>
      <c r="HV45" s="3" t="s">
        <v>71</v>
      </c>
      <c r="HW45" s="3" t="s">
        <v>608</v>
      </c>
      <c r="IR45" s="62">
        <f>H45*0.067292111</f>
        <v>0</v>
      </c>
      <c r="IS45" s="62">
        <f>H45*(1-0.067292111)</f>
        <v>0</v>
      </c>
    </row>
    <row r="46" spans="1:253" x14ac:dyDescent="0.25">
      <c r="A46" s="144" t="s">
        <v>50</v>
      </c>
      <c r="B46" s="107"/>
      <c r="C46" s="107"/>
      <c r="D46" s="107"/>
      <c r="E46" s="107"/>
      <c r="F46" s="3" t="s">
        <v>635</v>
      </c>
      <c r="G46" s="38">
        <v>2.085</v>
      </c>
      <c r="H46" s="38">
        <f>'Stavební rozpočet'!H33</f>
        <v>0</v>
      </c>
      <c r="M46" s="63"/>
      <c r="HV46" s="3" t="s">
        <v>71</v>
      </c>
      <c r="HW46" s="3" t="s">
        <v>608</v>
      </c>
      <c r="IR46" s="62">
        <f>H46*0.067292111</f>
        <v>0</v>
      </c>
      <c r="IS46" s="62">
        <f>H46*(1-0.067292111)</f>
        <v>0</v>
      </c>
    </row>
    <row r="47" spans="1:253" x14ac:dyDescent="0.25">
      <c r="A47" s="60">
        <v>17</v>
      </c>
      <c r="B47" s="3" t="s">
        <v>51</v>
      </c>
      <c r="C47" s="3" t="s">
        <v>123</v>
      </c>
      <c r="D47" s="5" t="s">
        <v>124</v>
      </c>
      <c r="E47" s="3" t="s">
        <v>125</v>
      </c>
      <c r="F47" s="3" t="s">
        <v>636</v>
      </c>
      <c r="G47" s="38">
        <f>'Stavební rozpočet'!G35</f>
        <v>0.08</v>
      </c>
      <c r="H47" s="38">
        <f>'Stavební rozpočet'!H35</f>
        <v>0</v>
      </c>
      <c r="I47" s="38">
        <f>IR47*G47</f>
        <v>0</v>
      </c>
      <c r="J47" s="38">
        <f>IS47*G47</f>
        <v>0</v>
      </c>
      <c r="K47" s="38">
        <f>IR47*G47+IS47*G47</f>
        <v>0</v>
      </c>
      <c r="L47" s="38">
        <f>'Stavební rozpočet'!N35</f>
        <v>1.80139</v>
      </c>
      <c r="M47" s="61">
        <f>L47*G47</f>
        <v>0.14411119999999999</v>
      </c>
      <c r="HV47" s="3" t="s">
        <v>71</v>
      </c>
      <c r="HW47" s="3" t="s">
        <v>608</v>
      </c>
      <c r="IR47" s="62">
        <f>H47*0.007105461</f>
        <v>0</v>
      </c>
      <c r="IS47" s="62">
        <f>H47*(1-0.007105461)</f>
        <v>0</v>
      </c>
    </row>
    <row r="48" spans="1:253" x14ac:dyDescent="0.25">
      <c r="A48" s="60">
        <v>18</v>
      </c>
      <c r="B48" s="3" t="s">
        <v>51</v>
      </c>
      <c r="C48" s="3" t="s">
        <v>127</v>
      </c>
      <c r="D48" s="5" t="s">
        <v>128</v>
      </c>
      <c r="E48" s="3" t="s">
        <v>58</v>
      </c>
      <c r="F48" s="3" t="s">
        <v>637</v>
      </c>
      <c r="G48" s="38">
        <f>'Stavební rozpočet'!G37</f>
        <v>4</v>
      </c>
      <c r="H48" s="38">
        <f>'Stavební rozpočet'!H37</f>
        <v>0</v>
      </c>
      <c r="I48" s="38">
        <f>IR48*G48</f>
        <v>0</v>
      </c>
      <c r="J48" s="38">
        <f>IS48*G48</f>
        <v>0</v>
      </c>
      <c r="K48" s="38">
        <f>IR48*G48+IS48*G48</f>
        <v>0</v>
      </c>
      <c r="L48" s="38">
        <f>'Stavební rozpočet'!N37</f>
        <v>4.8999999999999998E-3</v>
      </c>
      <c r="M48" s="61">
        <f>L48*G48</f>
        <v>1.9599999999999999E-2</v>
      </c>
      <c r="HV48" s="3" t="s">
        <v>71</v>
      </c>
      <c r="HW48" s="3" t="s">
        <v>608</v>
      </c>
      <c r="IR48" s="62">
        <f t="shared" ref="IR48:IR55" si="4">H48*0</f>
        <v>0</v>
      </c>
      <c r="IS48" s="62">
        <f t="shared" ref="IS48:IS55" si="5">H48*(1-0)</f>
        <v>0</v>
      </c>
    </row>
    <row r="49" spans="1:253" x14ac:dyDescent="0.25">
      <c r="A49" s="144" t="s">
        <v>50</v>
      </c>
      <c r="B49" s="107"/>
      <c r="C49" s="107"/>
      <c r="D49" s="107"/>
      <c r="E49" s="107"/>
      <c r="F49" s="3" t="s">
        <v>638</v>
      </c>
      <c r="G49" s="38">
        <v>1</v>
      </c>
      <c r="H49" s="38">
        <f>'Stavební rozpočet'!H37</f>
        <v>0</v>
      </c>
      <c r="M49" s="63"/>
      <c r="HV49" s="3" t="s">
        <v>71</v>
      </c>
      <c r="HW49" s="3" t="s">
        <v>608</v>
      </c>
      <c r="IR49" s="62">
        <f t="shared" si="4"/>
        <v>0</v>
      </c>
      <c r="IS49" s="62">
        <f t="shared" si="5"/>
        <v>0</v>
      </c>
    </row>
    <row r="50" spans="1:253" x14ac:dyDescent="0.25">
      <c r="A50" s="144" t="s">
        <v>50</v>
      </c>
      <c r="B50" s="107"/>
      <c r="C50" s="107"/>
      <c r="D50" s="107"/>
      <c r="E50" s="107"/>
      <c r="F50" s="3" t="s">
        <v>639</v>
      </c>
      <c r="G50" s="38">
        <v>1</v>
      </c>
      <c r="H50" s="38">
        <f>'Stavební rozpočet'!H37</f>
        <v>0</v>
      </c>
      <c r="M50" s="63"/>
      <c r="HV50" s="3" t="s">
        <v>71</v>
      </c>
      <c r="HW50" s="3" t="s">
        <v>608</v>
      </c>
      <c r="IR50" s="62">
        <f t="shared" si="4"/>
        <v>0</v>
      </c>
      <c r="IS50" s="62">
        <f t="shared" si="5"/>
        <v>0</v>
      </c>
    </row>
    <row r="51" spans="1:253" x14ac:dyDescent="0.25">
      <c r="A51" s="144" t="s">
        <v>50</v>
      </c>
      <c r="B51" s="107"/>
      <c r="C51" s="107"/>
      <c r="D51" s="107"/>
      <c r="E51" s="107"/>
      <c r="F51" s="3" t="s">
        <v>640</v>
      </c>
      <c r="G51" s="38">
        <v>1</v>
      </c>
      <c r="H51" s="38">
        <f>'Stavební rozpočet'!H37</f>
        <v>0</v>
      </c>
      <c r="M51" s="63"/>
      <c r="HV51" s="3" t="s">
        <v>71</v>
      </c>
      <c r="HW51" s="3" t="s">
        <v>608</v>
      </c>
      <c r="IR51" s="62">
        <f t="shared" si="4"/>
        <v>0</v>
      </c>
      <c r="IS51" s="62">
        <f t="shared" si="5"/>
        <v>0</v>
      </c>
    </row>
    <row r="52" spans="1:253" x14ac:dyDescent="0.25">
      <c r="A52" s="60">
        <v>19</v>
      </c>
      <c r="B52" s="3" t="s">
        <v>51</v>
      </c>
      <c r="C52" s="3" t="s">
        <v>130</v>
      </c>
      <c r="D52" s="5" t="s">
        <v>131</v>
      </c>
      <c r="E52" s="3" t="s">
        <v>83</v>
      </c>
      <c r="F52" s="3" t="s">
        <v>641</v>
      </c>
      <c r="G52" s="38">
        <f>'Stavební rozpočet'!G38</f>
        <v>44.58</v>
      </c>
      <c r="H52" s="38">
        <f>'Stavební rozpočet'!H38</f>
        <v>0</v>
      </c>
      <c r="I52" s="38">
        <f>IR52*G52</f>
        <v>0</v>
      </c>
      <c r="J52" s="38">
        <f>IS52*G52</f>
        <v>0</v>
      </c>
      <c r="K52" s="38">
        <f>IR52*G52+IS52*G52</f>
        <v>0</v>
      </c>
      <c r="L52" s="38">
        <f>'Stavební rozpočet'!N38</f>
        <v>2E-3</v>
      </c>
      <c r="M52" s="61">
        <f>L52*G52</f>
        <v>8.9160000000000003E-2</v>
      </c>
      <c r="HV52" s="3" t="s">
        <v>71</v>
      </c>
      <c r="HW52" s="3" t="s">
        <v>608</v>
      </c>
      <c r="IR52" s="62">
        <f t="shared" si="4"/>
        <v>0</v>
      </c>
      <c r="IS52" s="62">
        <f t="shared" si="5"/>
        <v>0</v>
      </c>
    </row>
    <row r="53" spans="1:253" x14ac:dyDescent="0.25">
      <c r="A53" s="60">
        <v>20</v>
      </c>
      <c r="B53" s="3" t="s">
        <v>51</v>
      </c>
      <c r="C53" s="3" t="s">
        <v>133</v>
      </c>
      <c r="D53" s="5" t="s">
        <v>134</v>
      </c>
      <c r="E53" s="3" t="s">
        <v>83</v>
      </c>
      <c r="F53" s="3" t="s">
        <v>641</v>
      </c>
      <c r="G53" s="38">
        <f>'Stavební rozpočet'!G39</f>
        <v>44.58</v>
      </c>
      <c r="H53" s="38">
        <f>'Stavební rozpočet'!H39</f>
        <v>0</v>
      </c>
      <c r="I53" s="38">
        <f>IR53*G53</f>
        <v>0</v>
      </c>
      <c r="J53" s="38">
        <f>IS53*G53</f>
        <v>0</v>
      </c>
      <c r="K53" s="38">
        <f>IR53*G53+IS53*G53</f>
        <v>0</v>
      </c>
      <c r="L53" s="38">
        <f>'Stavební rozpočet'!N39</f>
        <v>1.2E-2</v>
      </c>
      <c r="M53" s="61">
        <f>L53*G53</f>
        <v>0.53495999999999999</v>
      </c>
      <c r="HV53" s="3" t="s">
        <v>71</v>
      </c>
      <c r="HW53" s="3" t="s">
        <v>608</v>
      </c>
      <c r="IR53" s="62">
        <f t="shared" si="4"/>
        <v>0</v>
      </c>
      <c r="IS53" s="62">
        <f t="shared" si="5"/>
        <v>0</v>
      </c>
    </row>
    <row r="54" spans="1:253" x14ac:dyDescent="0.25">
      <c r="A54" s="60">
        <v>21</v>
      </c>
      <c r="B54" s="3" t="s">
        <v>51</v>
      </c>
      <c r="C54" s="3" t="s">
        <v>135</v>
      </c>
      <c r="D54" s="5" t="s">
        <v>136</v>
      </c>
      <c r="E54" s="3" t="s">
        <v>58</v>
      </c>
      <c r="F54" s="3" t="s">
        <v>642</v>
      </c>
      <c r="G54" s="38">
        <f>'Stavební rozpočet'!G40</f>
        <v>8</v>
      </c>
      <c r="H54" s="38">
        <f>'Stavební rozpočet'!H40</f>
        <v>0</v>
      </c>
      <c r="I54" s="38">
        <f>IR54*G54</f>
        <v>0</v>
      </c>
      <c r="J54" s="38">
        <f>IS54*G54</f>
        <v>0</v>
      </c>
      <c r="K54" s="38">
        <f>IR54*G54+IS54*G54</f>
        <v>0</v>
      </c>
      <c r="L54" s="38">
        <f>'Stavební rozpočet'!N40</f>
        <v>3.1870000000000002E-2</v>
      </c>
      <c r="M54" s="61">
        <f>L54*G54</f>
        <v>0.25496000000000002</v>
      </c>
      <c r="HV54" s="3" t="s">
        <v>71</v>
      </c>
      <c r="HW54" s="3" t="s">
        <v>608</v>
      </c>
      <c r="IR54" s="62">
        <f t="shared" si="4"/>
        <v>0</v>
      </c>
      <c r="IS54" s="62">
        <f t="shared" si="5"/>
        <v>0</v>
      </c>
    </row>
    <row r="55" spans="1:253" x14ac:dyDescent="0.25">
      <c r="A55" s="60">
        <v>22</v>
      </c>
      <c r="B55" s="3" t="s">
        <v>51</v>
      </c>
      <c r="C55" s="3" t="s">
        <v>138</v>
      </c>
      <c r="D55" s="5" t="s">
        <v>139</v>
      </c>
      <c r="E55" s="3" t="s">
        <v>140</v>
      </c>
      <c r="F55" s="3" t="s">
        <v>643</v>
      </c>
      <c r="G55" s="38">
        <f>'Stavební rozpočet'!G41</f>
        <v>2</v>
      </c>
      <c r="H55" s="38">
        <f>'Stavební rozpočet'!H41</f>
        <v>0</v>
      </c>
      <c r="I55" s="38">
        <f>IR55*G55</f>
        <v>0</v>
      </c>
      <c r="J55" s="38">
        <f>IS55*G55</f>
        <v>0</v>
      </c>
      <c r="K55" s="38">
        <f>IR55*G55+IS55*G55</f>
        <v>0</v>
      </c>
      <c r="L55" s="38">
        <f>'Stavební rozpočet'!N41</f>
        <v>3.4200000000000001E-2</v>
      </c>
      <c r="M55" s="61">
        <f>L55*G55</f>
        <v>6.8400000000000002E-2</v>
      </c>
      <c r="HV55" s="3" t="s">
        <v>71</v>
      </c>
      <c r="HW55" s="3" t="s">
        <v>608</v>
      </c>
      <c r="IR55" s="62">
        <f t="shared" si="4"/>
        <v>0</v>
      </c>
      <c r="IS55" s="62">
        <f t="shared" si="5"/>
        <v>0</v>
      </c>
    </row>
    <row r="56" spans="1:253" ht="13.5" customHeight="1" x14ac:dyDescent="0.25">
      <c r="A56" s="41"/>
      <c r="D56" s="5" t="s">
        <v>141</v>
      </c>
      <c r="M56" s="63"/>
    </row>
    <row r="57" spans="1:253" x14ac:dyDescent="0.25">
      <c r="A57" s="60">
        <v>23</v>
      </c>
      <c r="B57" s="3" t="s">
        <v>51</v>
      </c>
      <c r="C57" s="3" t="s">
        <v>143</v>
      </c>
      <c r="D57" s="5" t="s">
        <v>144</v>
      </c>
      <c r="E57" s="3" t="s">
        <v>58</v>
      </c>
      <c r="F57" s="3" t="s">
        <v>644</v>
      </c>
      <c r="G57" s="38">
        <f>'Stavební rozpočet'!G43</f>
        <v>17</v>
      </c>
      <c r="H57" s="38">
        <f>'Stavební rozpočet'!H43</f>
        <v>0</v>
      </c>
      <c r="I57" s="38">
        <f>IR57*G57</f>
        <v>0</v>
      </c>
      <c r="J57" s="38">
        <f>IS57*G57</f>
        <v>0</v>
      </c>
      <c r="K57" s="38">
        <f>IR57*G57+IS57*G57</f>
        <v>0</v>
      </c>
      <c r="L57" s="38">
        <f>'Stavební rozpočet'!N43</f>
        <v>4.8999999999999998E-3</v>
      </c>
      <c r="M57" s="61">
        <f>L57*G57</f>
        <v>8.3299999999999999E-2</v>
      </c>
      <c r="HV57" s="3" t="s">
        <v>71</v>
      </c>
      <c r="HW57" s="3" t="s">
        <v>608</v>
      </c>
      <c r="IR57" s="62">
        <f t="shared" ref="IR57:IR64" si="6">H57*0</f>
        <v>0</v>
      </c>
      <c r="IS57" s="62">
        <f t="shared" ref="IS57:IS64" si="7">H57*(1-0)</f>
        <v>0</v>
      </c>
    </row>
    <row r="58" spans="1:253" x14ac:dyDescent="0.25">
      <c r="A58" s="144" t="s">
        <v>50</v>
      </c>
      <c r="B58" s="107"/>
      <c r="C58" s="107"/>
      <c r="D58" s="107"/>
      <c r="E58" s="107"/>
      <c r="F58" s="3" t="s">
        <v>645</v>
      </c>
      <c r="G58" s="38">
        <v>1</v>
      </c>
      <c r="H58" s="38">
        <f>'Stavební rozpočet'!H43</f>
        <v>0</v>
      </c>
      <c r="M58" s="63"/>
      <c r="HV58" s="3" t="s">
        <v>71</v>
      </c>
      <c r="HW58" s="3" t="s">
        <v>608</v>
      </c>
      <c r="IR58" s="62">
        <f t="shared" si="6"/>
        <v>0</v>
      </c>
      <c r="IS58" s="62">
        <f t="shared" si="7"/>
        <v>0</v>
      </c>
    </row>
    <row r="59" spans="1:253" x14ac:dyDescent="0.25">
      <c r="A59" s="144" t="s">
        <v>50</v>
      </c>
      <c r="B59" s="107"/>
      <c r="C59" s="107"/>
      <c r="D59" s="107"/>
      <c r="E59" s="107"/>
      <c r="F59" s="3" t="s">
        <v>646</v>
      </c>
      <c r="G59" s="38">
        <v>1</v>
      </c>
      <c r="H59" s="38">
        <f>'Stavební rozpočet'!H43</f>
        <v>0</v>
      </c>
      <c r="M59" s="63"/>
      <c r="HV59" s="3" t="s">
        <v>71</v>
      </c>
      <c r="HW59" s="3" t="s">
        <v>608</v>
      </c>
      <c r="IR59" s="62">
        <f t="shared" si="6"/>
        <v>0</v>
      </c>
      <c r="IS59" s="62">
        <f t="shared" si="7"/>
        <v>0</v>
      </c>
    </row>
    <row r="60" spans="1:253" x14ac:dyDescent="0.25">
      <c r="A60" s="144" t="s">
        <v>50</v>
      </c>
      <c r="B60" s="107"/>
      <c r="C60" s="107"/>
      <c r="D60" s="107"/>
      <c r="E60" s="107"/>
      <c r="F60" s="3" t="s">
        <v>647</v>
      </c>
      <c r="G60" s="38">
        <v>7</v>
      </c>
      <c r="H60" s="38">
        <f>'Stavební rozpočet'!H43</f>
        <v>0</v>
      </c>
      <c r="M60" s="63"/>
      <c r="HV60" s="3" t="s">
        <v>71</v>
      </c>
      <c r="HW60" s="3" t="s">
        <v>608</v>
      </c>
      <c r="IR60" s="62">
        <f t="shared" si="6"/>
        <v>0</v>
      </c>
      <c r="IS60" s="62">
        <f t="shared" si="7"/>
        <v>0</v>
      </c>
    </row>
    <row r="61" spans="1:253" x14ac:dyDescent="0.25">
      <c r="A61" s="60">
        <v>24</v>
      </c>
      <c r="B61" s="3" t="s">
        <v>51</v>
      </c>
      <c r="C61" s="3" t="s">
        <v>146</v>
      </c>
      <c r="D61" s="5" t="s">
        <v>147</v>
      </c>
      <c r="E61" s="3" t="s">
        <v>140</v>
      </c>
      <c r="F61" s="3" t="s">
        <v>648</v>
      </c>
      <c r="G61" s="38">
        <f>'Stavební rozpočet'!G44</f>
        <v>12</v>
      </c>
      <c r="H61" s="38">
        <f>'Stavební rozpočet'!H44</f>
        <v>0</v>
      </c>
      <c r="I61" s="38">
        <f t="shared" ref="I61:I75" si="8">IR61*G61</f>
        <v>0</v>
      </c>
      <c r="J61" s="38">
        <f t="shared" ref="J61:J75" si="9">IS61*G61</f>
        <v>0</v>
      </c>
      <c r="K61" s="38">
        <f t="shared" ref="K61:K75" si="10">IR61*G61+IS61*G61</f>
        <v>0</v>
      </c>
      <c r="L61" s="38">
        <f>'Stavební rozpočet'!N44</f>
        <v>3.4200000000000001E-2</v>
      </c>
      <c r="M61" s="61">
        <f t="shared" ref="M61:M75" si="11">L61*G61</f>
        <v>0.41039999999999999</v>
      </c>
      <c r="HV61" s="3" t="s">
        <v>71</v>
      </c>
      <c r="HW61" s="3" t="s">
        <v>608</v>
      </c>
      <c r="IR61" s="62">
        <f t="shared" si="6"/>
        <v>0</v>
      </c>
      <c r="IS61" s="62">
        <f t="shared" si="7"/>
        <v>0</v>
      </c>
    </row>
    <row r="62" spans="1:253" x14ac:dyDescent="0.25">
      <c r="A62" s="60">
        <v>25</v>
      </c>
      <c r="B62" s="3" t="s">
        <v>51</v>
      </c>
      <c r="C62" s="3" t="s">
        <v>149</v>
      </c>
      <c r="D62" s="5" t="s">
        <v>150</v>
      </c>
      <c r="E62" s="3" t="s">
        <v>140</v>
      </c>
      <c r="F62" s="3" t="s">
        <v>649</v>
      </c>
      <c r="G62" s="38">
        <f>'Stavební rozpočet'!G45</f>
        <v>1</v>
      </c>
      <c r="H62" s="38">
        <f>'Stavební rozpočet'!H45</f>
        <v>0</v>
      </c>
      <c r="I62" s="38">
        <f t="shared" si="8"/>
        <v>0</v>
      </c>
      <c r="J62" s="38">
        <f t="shared" si="9"/>
        <v>0</v>
      </c>
      <c r="K62" s="38">
        <f t="shared" si="10"/>
        <v>0</v>
      </c>
      <c r="L62" s="38">
        <f>'Stavební rozpočet'!N45</f>
        <v>1.7600000000000001E-2</v>
      </c>
      <c r="M62" s="61">
        <f t="shared" si="11"/>
        <v>1.7600000000000001E-2</v>
      </c>
      <c r="HV62" s="3" t="s">
        <v>71</v>
      </c>
      <c r="HW62" s="3" t="s">
        <v>608</v>
      </c>
      <c r="IR62" s="62">
        <f t="shared" si="6"/>
        <v>0</v>
      </c>
      <c r="IS62" s="62">
        <f t="shared" si="7"/>
        <v>0</v>
      </c>
    </row>
    <row r="63" spans="1:253" x14ac:dyDescent="0.25">
      <c r="A63" s="60">
        <v>26</v>
      </c>
      <c r="B63" s="3" t="s">
        <v>51</v>
      </c>
      <c r="C63" s="3" t="s">
        <v>152</v>
      </c>
      <c r="D63" s="5" t="s">
        <v>153</v>
      </c>
      <c r="E63" s="3" t="s">
        <v>140</v>
      </c>
      <c r="F63" s="3" t="s">
        <v>650</v>
      </c>
      <c r="G63" s="38">
        <f>'Stavební rozpočet'!G46</f>
        <v>1</v>
      </c>
      <c r="H63" s="38">
        <f>'Stavební rozpočet'!H46</f>
        <v>0</v>
      </c>
      <c r="I63" s="38">
        <f t="shared" si="8"/>
        <v>0</v>
      </c>
      <c r="J63" s="38">
        <f t="shared" si="9"/>
        <v>0</v>
      </c>
      <c r="K63" s="38">
        <f t="shared" si="10"/>
        <v>0</v>
      </c>
      <c r="L63" s="38">
        <f>'Stavební rozpočet'!N46</f>
        <v>0.14648</v>
      </c>
      <c r="M63" s="61">
        <f t="shared" si="11"/>
        <v>0.14648</v>
      </c>
      <c r="HV63" s="3" t="s">
        <v>71</v>
      </c>
      <c r="HW63" s="3" t="s">
        <v>608</v>
      </c>
      <c r="IR63" s="62">
        <f t="shared" si="6"/>
        <v>0</v>
      </c>
      <c r="IS63" s="62">
        <f t="shared" si="7"/>
        <v>0</v>
      </c>
    </row>
    <row r="64" spans="1:253" x14ac:dyDescent="0.25">
      <c r="A64" s="60">
        <v>27</v>
      </c>
      <c r="B64" s="3" t="s">
        <v>51</v>
      </c>
      <c r="C64" s="3" t="s">
        <v>155</v>
      </c>
      <c r="D64" s="5" t="s">
        <v>156</v>
      </c>
      <c r="E64" s="3" t="s">
        <v>58</v>
      </c>
      <c r="F64" s="3" t="s">
        <v>651</v>
      </c>
      <c r="G64" s="38">
        <f>'Stavební rozpočet'!G47</f>
        <v>5</v>
      </c>
      <c r="H64" s="38">
        <f>'Stavební rozpočet'!H47</f>
        <v>0</v>
      </c>
      <c r="I64" s="38">
        <f t="shared" si="8"/>
        <v>0</v>
      </c>
      <c r="J64" s="38">
        <f t="shared" si="9"/>
        <v>0</v>
      </c>
      <c r="K64" s="38">
        <f t="shared" si="10"/>
        <v>0</v>
      </c>
      <c r="L64" s="38">
        <f>'Stavební rozpočet'!N47</f>
        <v>3.1870000000000002E-2</v>
      </c>
      <c r="M64" s="61">
        <f t="shared" si="11"/>
        <v>0.15935000000000002</v>
      </c>
      <c r="HV64" s="3" t="s">
        <v>71</v>
      </c>
      <c r="HW64" s="3" t="s">
        <v>608</v>
      </c>
      <c r="IR64" s="62">
        <f t="shared" si="6"/>
        <v>0</v>
      </c>
      <c r="IS64" s="62">
        <f t="shared" si="7"/>
        <v>0</v>
      </c>
    </row>
    <row r="65" spans="1:253" x14ac:dyDescent="0.25">
      <c r="A65" s="60">
        <v>28</v>
      </c>
      <c r="B65" s="3" t="s">
        <v>51</v>
      </c>
      <c r="C65" s="3" t="s">
        <v>158</v>
      </c>
      <c r="D65" s="5" t="s">
        <v>159</v>
      </c>
      <c r="E65" s="3" t="s">
        <v>58</v>
      </c>
      <c r="F65" s="3" t="s">
        <v>652</v>
      </c>
      <c r="G65" s="38">
        <f>'Stavební rozpočet'!G48</f>
        <v>2</v>
      </c>
      <c r="H65" s="38">
        <f>'Stavební rozpočet'!H48</f>
        <v>0</v>
      </c>
      <c r="I65" s="38">
        <f t="shared" si="8"/>
        <v>0</v>
      </c>
      <c r="J65" s="38">
        <f t="shared" si="9"/>
        <v>0</v>
      </c>
      <c r="K65" s="38">
        <f t="shared" si="10"/>
        <v>0</v>
      </c>
      <c r="L65" s="38">
        <f>'Stavební rozpočet'!N48</f>
        <v>2.5010000000000001E-2</v>
      </c>
      <c r="M65" s="61">
        <f t="shared" si="11"/>
        <v>5.0020000000000002E-2</v>
      </c>
      <c r="HV65" s="3" t="s">
        <v>71</v>
      </c>
      <c r="HW65" s="3" t="s">
        <v>608</v>
      </c>
      <c r="IR65" s="62">
        <f>H65*0.15606249</f>
        <v>0</v>
      </c>
      <c r="IS65" s="62">
        <f>H65*(1-0.15606249)</f>
        <v>0</v>
      </c>
    </row>
    <row r="66" spans="1:253" x14ac:dyDescent="0.25">
      <c r="A66" s="60">
        <v>29</v>
      </c>
      <c r="B66" s="3" t="s">
        <v>51</v>
      </c>
      <c r="C66" s="3" t="s">
        <v>161</v>
      </c>
      <c r="D66" s="5" t="s">
        <v>162</v>
      </c>
      <c r="E66" s="3" t="s">
        <v>58</v>
      </c>
      <c r="F66" s="3" t="s">
        <v>652</v>
      </c>
      <c r="G66" s="38">
        <f>'Stavební rozpočet'!G49</f>
        <v>2</v>
      </c>
      <c r="H66" s="38">
        <f>'Stavební rozpočet'!H49</f>
        <v>0</v>
      </c>
      <c r="I66" s="38">
        <f t="shared" si="8"/>
        <v>0</v>
      </c>
      <c r="J66" s="38">
        <f t="shared" si="9"/>
        <v>0</v>
      </c>
      <c r="K66" s="38">
        <f t="shared" si="10"/>
        <v>0</v>
      </c>
      <c r="L66" s="38">
        <f>'Stavební rozpočet'!N49</f>
        <v>2.5010000000000001E-2</v>
      </c>
      <c r="M66" s="61">
        <f t="shared" si="11"/>
        <v>5.0020000000000002E-2</v>
      </c>
      <c r="HV66" s="3" t="s">
        <v>71</v>
      </c>
      <c r="HW66" s="3" t="s">
        <v>608</v>
      </c>
      <c r="IR66" s="62">
        <f>H66*0.15608</f>
        <v>0</v>
      </c>
      <c r="IS66" s="62">
        <f>H66*(1-0.15608)</f>
        <v>0</v>
      </c>
    </row>
    <row r="67" spans="1:253" x14ac:dyDescent="0.25">
      <c r="A67" s="60">
        <v>30</v>
      </c>
      <c r="B67" s="3" t="s">
        <v>51</v>
      </c>
      <c r="C67" s="3" t="s">
        <v>164</v>
      </c>
      <c r="D67" s="5" t="s">
        <v>165</v>
      </c>
      <c r="E67" s="3" t="s">
        <v>166</v>
      </c>
      <c r="F67" s="3" t="s">
        <v>50</v>
      </c>
      <c r="G67" s="38">
        <f>'Stavební rozpočet'!G50</f>
        <v>18.629100000000001</v>
      </c>
      <c r="H67" s="38">
        <f>'Stavební rozpočet'!H50</f>
        <v>0</v>
      </c>
      <c r="I67" s="38">
        <f t="shared" si="8"/>
        <v>0</v>
      </c>
      <c r="J67" s="38">
        <f t="shared" si="9"/>
        <v>0</v>
      </c>
      <c r="K67" s="38">
        <f t="shared" si="10"/>
        <v>0</v>
      </c>
      <c r="L67" s="38">
        <f>'Stavební rozpočet'!N50</f>
        <v>0</v>
      </c>
      <c r="M67" s="61">
        <f t="shared" si="11"/>
        <v>0</v>
      </c>
      <c r="HV67" s="3" t="s">
        <v>71</v>
      </c>
      <c r="HW67" s="3" t="s">
        <v>608</v>
      </c>
      <c r="IR67" s="62">
        <f t="shared" ref="IR67:IR75" si="12">H67*0</f>
        <v>0</v>
      </c>
      <c r="IS67" s="62">
        <f t="shared" ref="IS67:IS75" si="13">H67*(1-0)</f>
        <v>0</v>
      </c>
    </row>
    <row r="68" spans="1:253" x14ac:dyDescent="0.25">
      <c r="A68" s="60">
        <v>31</v>
      </c>
      <c r="B68" s="3" t="s">
        <v>51</v>
      </c>
      <c r="C68" s="3" t="s">
        <v>167</v>
      </c>
      <c r="D68" s="5" t="s">
        <v>168</v>
      </c>
      <c r="E68" s="3" t="s">
        <v>166</v>
      </c>
      <c r="F68" s="3" t="s">
        <v>653</v>
      </c>
      <c r="G68" s="38">
        <f>'Stavební rozpočet'!G51</f>
        <v>74.516400000000004</v>
      </c>
      <c r="H68" s="38">
        <f>'Stavební rozpočet'!H51</f>
        <v>0</v>
      </c>
      <c r="I68" s="38">
        <f t="shared" si="8"/>
        <v>0</v>
      </c>
      <c r="J68" s="38">
        <f t="shared" si="9"/>
        <v>0</v>
      </c>
      <c r="K68" s="38">
        <f t="shared" si="10"/>
        <v>0</v>
      </c>
      <c r="L68" s="38">
        <f>'Stavební rozpočet'!N51</f>
        <v>0</v>
      </c>
      <c r="M68" s="61">
        <f t="shared" si="11"/>
        <v>0</v>
      </c>
      <c r="HV68" s="3" t="s">
        <v>71</v>
      </c>
      <c r="HW68" s="3" t="s">
        <v>608</v>
      </c>
      <c r="IR68" s="62">
        <f t="shared" si="12"/>
        <v>0</v>
      </c>
      <c r="IS68" s="62">
        <f t="shared" si="13"/>
        <v>0</v>
      </c>
    </row>
    <row r="69" spans="1:253" x14ac:dyDescent="0.25">
      <c r="A69" s="60">
        <v>32</v>
      </c>
      <c r="B69" s="3" t="s">
        <v>51</v>
      </c>
      <c r="C69" s="3" t="s">
        <v>170</v>
      </c>
      <c r="D69" s="5" t="s">
        <v>171</v>
      </c>
      <c r="E69" s="3" t="s">
        <v>166</v>
      </c>
      <c r="F69" s="3" t="s">
        <v>654</v>
      </c>
      <c r="G69" s="38">
        <f>'Stavební rozpočet'!G52</f>
        <v>18.629100000000001</v>
      </c>
      <c r="H69" s="38">
        <f>'Stavební rozpočet'!H52</f>
        <v>0</v>
      </c>
      <c r="I69" s="38">
        <f t="shared" si="8"/>
        <v>0</v>
      </c>
      <c r="J69" s="38">
        <f t="shared" si="9"/>
        <v>0</v>
      </c>
      <c r="K69" s="38">
        <f t="shared" si="10"/>
        <v>0</v>
      </c>
      <c r="L69" s="38">
        <f>'Stavební rozpočet'!N52</f>
        <v>0</v>
      </c>
      <c r="M69" s="61">
        <f t="shared" si="11"/>
        <v>0</v>
      </c>
      <c r="HV69" s="3" t="s">
        <v>71</v>
      </c>
      <c r="HW69" s="3" t="s">
        <v>608</v>
      </c>
      <c r="IR69" s="62">
        <f t="shared" si="12"/>
        <v>0</v>
      </c>
      <c r="IS69" s="62">
        <f t="shared" si="13"/>
        <v>0</v>
      </c>
    </row>
    <row r="70" spans="1:253" x14ac:dyDescent="0.25">
      <c r="A70" s="60">
        <v>33</v>
      </c>
      <c r="B70" s="3" t="s">
        <v>51</v>
      </c>
      <c r="C70" s="3" t="s">
        <v>173</v>
      </c>
      <c r="D70" s="5" t="s">
        <v>174</v>
      </c>
      <c r="E70" s="3" t="s">
        <v>166</v>
      </c>
      <c r="F70" s="3" t="s">
        <v>654</v>
      </c>
      <c r="G70" s="38">
        <f>'Stavební rozpočet'!G53</f>
        <v>18.629100000000001</v>
      </c>
      <c r="H70" s="38">
        <f>'Stavební rozpočet'!H53</f>
        <v>0</v>
      </c>
      <c r="I70" s="38">
        <f t="shared" si="8"/>
        <v>0</v>
      </c>
      <c r="J70" s="38">
        <f t="shared" si="9"/>
        <v>0</v>
      </c>
      <c r="K70" s="38">
        <f t="shared" si="10"/>
        <v>0</v>
      </c>
      <c r="L70" s="38">
        <f>'Stavební rozpočet'!N53</f>
        <v>0</v>
      </c>
      <c r="M70" s="61">
        <f t="shared" si="11"/>
        <v>0</v>
      </c>
      <c r="HV70" s="3" t="s">
        <v>71</v>
      </c>
      <c r="HW70" s="3" t="s">
        <v>608</v>
      </c>
      <c r="IR70" s="62">
        <f t="shared" si="12"/>
        <v>0</v>
      </c>
      <c r="IS70" s="62">
        <f t="shared" si="13"/>
        <v>0</v>
      </c>
    </row>
    <row r="71" spans="1:253" x14ac:dyDescent="0.25">
      <c r="A71" s="60">
        <v>34</v>
      </c>
      <c r="B71" s="3" t="s">
        <v>51</v>
      </c>
      <c r="C71" s="3" t="s">
        <v>176</v>
      </c>
      <c r="D71" s="5" t="s">
        <v>177</v>
      </c>
      <c r="E71" s="3" t="s">
        <v>166</v>
      </c>
      <c r="F71" s="3" t="s">
        <v>655</v>
      </c>
      <c r="G71" s="38">
        <f>'Stavební rozpočet'!G54</f>
        <v>260.80739999999997</v>
      </c>
      <c r="H71" s="38">
        <f>'Stavební rozpočet'!H54</f>
        <v>0</v>
      </c>
      <c r="I71" s="38">
        <f t="shared" si="8"/>
        <v>0</v>
      </c>
      <c r="J71" s="38">
        <f t="shared" si="9"/>
        <v>0</v>
      </c>
      <c r="K71" s="38">
        <f t="shared" si="10"/>
        <v>0</v>
      </c>
      <c r="L71" s="38">
        <f>'Stavební rozpočet'!N54</f>
        <v>0</v>
      </c>
      <c r="M71" s="61">
        <f t="shared" si="11"/>
        <v>0</v>
      </c>
      <c r="HV71" s="3" t="s">
        <v>71</v>
      </c>
      <c r="HW71" s="3" t="s">
        <v>608</v>
      </c>
      <c r="IR71" s="62">
        <f t="shared" si="12"/>
        <v>0</v>
      </c>
      <c r="IS71" s="62">
        <f t="shared" si="13"/>
        <v>0</v>
      </c>
    </row>
    <row r="72" spans="1:253" x14ac:dyDescent="0.25">
      <c r="A72" s="60">
        <v>35</v>
      </c>
      <c r="B72" s="3" t="s">
        <v>51</v>
      </c>
      <c r="C72" s="3" t="s">
        <v>179</v>
      </c>
      <c r="D72" s="5" t="s">
        <v>180</v>
      </c>
      <c r="E72" s="3" t="s">
        <v>166</v>
      </c>
      <c r="F72" s="3" t="s">
        <v>50</v>
      </c>
      <c r="G72" s="38">
        <f>'Stavební rozpočet'!G55</f>
        <v>1.0571900000000001</v>
      </c>
      <c r="H72" s="38">
        <f>'Stavební rozpočet'!H55</f>
        <v>0</v>
      </c>
      <c r="I72" s="38">
        <f t="shared" si="8"/>
        <v>0</v>
      </c>
      <c r="J72" s="38">
        <f t="shared" si="9"/>
        <v>0</v>
      </c>
      <c r="K72" s="38">
        <f t="shared" si="10"/>
        <v>0</v>
      </c>
      <c r="L72" s="38">
        <f>'Stavební rozpočet'!N55</f>
        <v>0</v>
      </c>
      <c r="M72" s="61">
        <f t="shared" si="11"/>
        <v>0</v>
      </c>
      <c r="HV72" s="3" t="s">
        <v>71</v>
      </c>
      <c r="HW72" s="3" t="s">
        <v>608</v>
      </c>
      <c r="IR72" s="62">
        <f t="shared" si="12"/>
        <v>0</v>
      </c>
      <c r="IS72" s="62">
        <f t="shared" si="13"/>
        <v>0</v>
      </c>
    </row>
    <row r="73" spans="1:253" x14ac:dyDescent="0.25">
      <c r="A73" s="60">
        <v>36</v>
      </c>
      <c r="B73" s="3" t="s">
        <v>51</v>
      </c>
      <c r="C73" s="3" t="s">
        <v>182</v>
      </c>
      <c r="D73" s="5" t="s">
        <v>183</v>
      </c>
      <c r="E73" s="3" t="s">
        <v>166</v>
      </c>
      <c r="F73" s="3" t="s">
        <v>50</v>
      </c>
      <c r="G73" s="38">
        <f>'Stavební rozpočet'!G56</f>
        <v>5.0635500000000002</v>
      </c>
      <c r="H73" s="38">
        <f>'Stavební rozpočet'!H56</f>
        <v>0</v>
      </c>
      <c r="I73" s="38">
        <f t="shared" si="8"/>
        <v>0</v>
      </c>
      <c r="J73" s="38">
        <f t="shared" si="9"/>
        <v>0</v>
      </c>
      <c r="K73" s="38">
        <f t="shared" si="10"/>
        <v>0</v>
      </c>
      <c r="L73" s="38">
        <f>'Stavební rozpočet'!N56</f>
        <v>0</v>
      </c>
      <c r="M73" s="61">
        <f t="shared" si="11"/>
        <v>0</v>
      </c>
      <c r="HV73" s="3" t="s">
        <v>71</v>
      </c>
      <c r="HW73" s="3" t="s">
        <v>608</v>
      </c>
      <c r="IR73" s="62">
        <f t="shared" si="12"/>
        <v>0</v>
      </c>
      <c r="IS73" s="62">
        <f t="shared" si="13"/>
        <v>0</v>
      </c>
    </row>
    <row r="74" spans="1:253" ht="25.5" x14ac:dyDescent="0.25">
      <c r="A74" s="60">
        <v>37</v>
      </c>
      <c r="B74" s="3" t="s">
        <v>51</v>
      </c>
      <c r="C74" s="3" t="s">
        <v>185</v>
      </c>
      <c r="D74" s="5" t="s">
        <v>186</v>
      </c>
      <c r="E74" s="3" t="s">
        <v>166</v>
      </c>
      <c r="F74" s="3" t="s">
        <v>50</v>
      </c>
      <c r="G74" s="38">
        <f>'Stavební rozpočet'!G57</f>
        <v>13.7483</v>
      </c>
      <c r="H74" s="38">
        <f>'Stavební rozpočet'!H57</f>
        <v>0</v>
      </c>
      <c r="I74" s="38">
        <f t="shared" si="8"/>
        <v>0</v>
      </c>
      <c r="J74" s="38">
        <f t="shared" si="9"/>
        <v>0</v>
      </c>
      <c r="K74" s="38">
        <f t="shared" si="10"/>
        <v>0</v>
      </c>
      <c r="L74" s="38">
        <f>'Stavební rozpočet'!N57</f>
        <v>0</v>
      </c>
      <c r="M74" s="61">
        <f t="shared" si="11"/>
        <v>0</v>
      </c>
      <c r="HV74" s="3" t="s">
        <v>71</v>
      </c>
      <c r="HW74" s="3" t="s">
        <v>608</v>
      </c>
      <c r="IR74" s="62">
        <f t="shared" si="12"/>
        <v>0</v>
      </c>
      <c r="IS74" s="62">
        <f t="shared" si="13"/>
        <v>0</v>
      </c>
    </row>
    <row r="75" spans="1:253" x14ac:dyDescent="0.25">
      <c r="A75" s="60">
        <v>38</v>
      </c>
      <c r="B75" s="3" t="s">
        <v>51</v>
      </c>
      <c r="C75" s="3" t="s">
        <v>188</v>
      </c>
      <c r="D75" s="5" t="s">
        <v>189</v>
      </c>
      <c r="E75" s="3" t="s">
        <v>166</v>
      </c>
      <c r="F75" s="3" t="s">
        <v>50</v>
      </c>
      <c r="G75" s="38">
        <f>'Stavební rozpočet'!G58</f>
        <v>0.51532999999999995</v>
      </c>
      <c r="H75" s="38">
        <f>'Stavební rozpočet'!H58</f>
        <v>0</v>
      </c>
      <c r="I75" s="38">
        <f t="shared" si="8"/>
        <v>0</v>
      </c>
      <c r="J75" s="38">
        <f t="shared" si="9"/>
        <v>0</v>
      </c>
      <c r="K75" s="38">
        <f t="shared" si="10"/>
        <v>0</v>
      </c>
      <c r="L75" s="38">
        <f>'Stavební rozpočet'!N58</f>
        <v>0</v>
      </c>
      <c r="M75" s="61">
        <f t="shared" si="11"/>
        <v>0</v>
      </c>
      <c r="HV75" s="3" t="s">
        <v>71</v>
      </c>
      <c r="HW75" s="3" t="s">
        <v>608</v>
      </c>
      <c r="IR75" s="62">
        <f t="shared" si="12"/>
        <v>0</v>
      </c>
      <c r="IS75" s="62">
        <f t="shared" si="13"/>
        <v>0</v>
      </c>
    </row>
    <row r="76" spans="1:253" x14ac:dyDescent="0.25">
      <c r="A76" s="58" t="s">
        <v>4</v>
      </c>
      <c r="B76" s="34" t="s">
        <v>51</v>
      </c>
      <c r="C76" s="34" t="s">
        <v>190</v>
      </c>
      <c r="D76" s="35" t="s">
        <v>191</v>
      </c>
      <c r="E76" s="34" t="s">
        <v>4</v>
      </c>
      <c r="F76" s="34" t="s">
        <v>4</v>
      </c>
      <c r="G76" s="13" t="s">
        <v>4</v>
      </c>
      <c r="H76" s="13" t="s">
        <v>4</v>
      </c>
      <c r="I76" s="1">
        <f>SUM(I77:I93)</f>
        <v>0</v>
      </c>
      <c r="J76" s="1">
        <f>SUM(J77:J93)</f>
        <v>0</v>
      </c>
      <c r="K76" s="1">
        <f>SUM(K77:K93)</f>
        <v>0</v>
      </c>
      <c r="L76" s="13" t="s">
        <v>4</v>
      </c>
      <c r="M76" s="59">
        <f>SUM(M77:M93)</f>
        <v>1.4695000000000003</v>
      </c>
    </row>
    <row r="77" spans="1:253" x14ac:dyDescent="0.25">
      <c r="A77" s="60">
        <v>39</v>
      </c>
      <c r="B77" s="3" t="s">
        <v>51</v>
      </c>
      <c r="C77" s="3" t="s">
        <v>193</v>
      </c>
      <c r="D77" s="5" t="s">
        <v>194</v>
      </c>
      <c r="E77" s="3" t="s">
        <v>140</v>
      </c>
      <c r="F77" s="3" t="s">
        <v>656</v>
      </c>
      <c r="G77" s="38">
        <f>'Stavební rozpočet'!G60</f>
        <v>1</v>
      </c>
      <c r="H77" s="38">
        <f>'Stavební rozpočet'!H60</f>
        <v>0</v>
      </c>
      <c r="I77" s="38">
        <f t="shared" ref="I77:I93" si="14">IR77*G77</f>
        <v>0</v>
      </c>
      <c r="J77" s="38">
        <f t="shared" ref="J77:J93" si="15">IS77*G77</f>
        <v>0</v>
      </c>
      <c r="K77" s="38">
        <f t="shared" ref="K77:K93" si="16">IR77*G77+IS77*G77</f>
        <v>0</v>
      </c>
      <c r="L77" s="38">
        <f>'Stavební rozpočet'!N60</f>
        <v>1.2999999999999999E-3</v>
      </c>
      <c r="M77" s="61">
        <f t="shared" ref="M77:M93" si="17">L77*G77</f>
        <v>1.2999999999999999E-3</v>
      </c>
      <c r="HV77" s="3" t="s">
        <v>190</v>
      </c>
      <c r="HW77" s="3" t="s">
        <v>608</v>
      </c>
      <c r="IR77" s="62">
        <f>H77*0.864470284</f>
        <v>0</v>
      </c>
      <c r="IS77" s="62">
        <f>H77*(1-0.864470284)</f>
        <v>0</v>
      </c>
    </row>
    <row r="78" spans="1:253" x14ac:dyDescent="0.25">
      <c r="A78" s="60">
        <v>40</v>
      </c>
      <c r="B78" s="3" t="s">
        <v>51</v>
      </c>
      <c r="C78" s="3" t="s">
        <v>197</v>
      </c>
      <c r="D78" s="5" t="s">
        <v>198</v>
      </c>
      <c r="E78" s="3" t="s">
        <v>140</v>
      </c>
      <c r="F78" s="3" t="s">
        <v>657</v>
      </c>
      <c r="G78" s="38">
        <f>'Stavební rozpočet'!G61</f>
        <v>1</v>
      </c>
      <c r="H78" s="38">
        <f>'Stavební rozpočet'!H61</f>
        <v>0</v>
      </c>
      <c r="I78" s="38">
        <f t="shared" si="14"/>
        <v>0</v>
      </c>
      <c r="J78" s="38">
        <f t="shared" si="15"/>
        <v>0</v>
      </c>
      <c r="K78" s="38">
        <f t="shared" si="16"/>
        <v>0</v>
      </c>
      <c r="L78" s="38">
        <f>'Stavební rozpočet'!N61</f>
        <v>2.2000000000000001E-3</v>
      </c>
      <c r="M78" s="61">
        <f t="shared" si="17"/>
        <v>2.2000000000000001E-3</v>
      </c>
      <c r="HV78" s="3" t="s">
        <v>190</v>
      </c>
      <c r="HW78" s="3" t="s">
        <v>608</v>
      </c>
      <c r="IR78" s="62">
        <f>H78*0.923908661</f>
        <v>0</v>
      </c>
      <c r="IS78" s="62">
        <f>H78*(1-0.923908661)</f>
        <v>0</v>
      </c>
    </row>
    <row r="79" spans="1:253" x14ac:dyDescent="0.25">
      <c r="A79" s="60">
        <v>41</v>
      </c>
      <c r="B79" s="3" t="s">
        <v>51</v>
      </c>
      <c r="C79" s="3" t="s">
        <v>200</v>
      </c>
      <c r="D79" s="5" t="s">
        <v>201</v>
      </c>
      <c r="E79" s="3" t="s">
        <v>140</v>
      </c>
      <c r="F79" s="3" t="s">
        <v>658</v>
      </c>
      <c r="G79" s="38">
        <f>'Stavební rozpočet'!G62</f>
        <v>1</v>
      </c>
      <c r="H79" s="38">
        <f>'Stavební rozpočet'!H62</f>
        <v>0</v>
      </c>
      <c r="I79" s="38">
        <f t="shared" si="14"/>
        <v>0</v>
      </c>
      <c r="J79" s="38">
        <f t="shared" si="15"/>
        <v>0</v>
      </c>
      <c r="K79" s="38">
        <f t="shared" si="16"/>
        <v>0</v>
      </c>
      <c r="L79" s="38">
        <f>'Stavební rozpočet'!N62</f>
        <v>2E-3</v>
      </c>
      <c r="M79" s="61">
        <f t="shared" si="17"/>
        <v>2E-3</v>
      </c>
      <c r="HV79" s="3" t="s">
        <v>190</v>
      </c>
      <c r="HW79" s="3" t="s">
        <v>608</v>
      </c>
      <c r="IR79" s="62">
        <f>H79*0.909516854</f>
        <v>0</v>
      </c>
      <c r="IS79" s="62">
        <f>H79*(1-0.909516854)</f>
        <v>0</v>
      </c>
    </row>
    <row r="80" spans="1:253" x14ac:dyDescent="0.25">
      <c r="A80" s="60">
        <v>42</v>
      </c>
      <c r="B80" s="3" t="s">
        <v>51</v>
      </c>
      <c r="C80" s="3" t="s">
        <v>203</v>
      </c>
      <c r="D80" s="5" t="s">
        <v>204</v>
      </c>
      <c r="E80" s="3" t="s">
        <v>58</v>
      </c>
      <c r="F80" s="3" t="s">
        <v>659</v>
      </c>
      <c r="G80" s="38">
        <f>'Stavební rozpočet'!G63</f>
        <v>10</v>
      </c>
      <c r="H80" s="38">
        <f>'Stavební rozpočet'!H63</f>
        <v>0</v>
      </c>
      <c r="I80" s="38">
        <f t="shared" si="14"/>
        <v>0</v>
      </c>
      <c r="J80" s="38">
        <f t="shared" si="15"/>
        <v>0</v>
      </c>
      <c r="K80" s="38">
        <f t="shared" si="16"/>
        <v>0</v>
      </c>
      <c r="L80" s="38">
        <f>'Stavební rozpočet'!N63</f>
        <v>1.4999999999999999E-2</v>
      </c>
      <c r="M80" s="61">
        <f t="shared" si="17"/>
        <v>0.15</v>
      </c>
      <c r="HV80" s="3" t="s">
        <v>190</v>
      </c>
      <c r="HW80" s="3" t="s">
        <v>660</v>
      </c>
      <c r="IR80" s="62">
        <f t="shared" ref="IR80:IR93" si="18">H80*1</f>
        <v>0</v>
      </c>
      <c r="IS80" s="62">
        <f t="shared" ref="IS80:IS93" si="19">H80*(1-1)</f>
        <v>0</v>
      </c>
    </row>
    <row r="81" spans="1:253" x14ac:dyDescent="0.25">
      <c r="A81" s="60">
        <v>43</v>
      </c>
      <c r="B81" s="3" t="s">
        <v>51</v>
      </c>
      <c r="C81" s="3" t="s">
        <v>207</v>
      </c>
      <c r="D81" s="5" t="s">
        <v>208</v>
      </c>
      <c r="E81" s="3" t="s">
        <v>58</v>
      </c>
      <c r="F81" s="3" t="s">
        <v>659</v>
      </c>
      <c r="G81" s="38">
        <f>'Stavební rozpočet'!G65</f>
        <v>10</v>
      </c>
      <c r="H81" s="38">
        <f>'Stavební rozpočet'!H65</f>
        <v>0</v>
      </c>
      <c r="I81" s="38">
        <f t="shared" si="14"/>
        <v>0</v>
      </c>
      <c r="J81" s="38">
        <f t="shared" si="15"/>
        <v>0</v>
      </c>
      <c r="K81" s="38">
        <f t="shared" si="16"/>
        <v>0</v>
      </c>
      <c r="L81" s="38">
        <f>'Stavební rozpočet'!N65</f>
        <v>1.4999999999999999E-2</v>
      </c>
      <c r="M81" s="61">
        <f t="shared" si="17"/>
        <v>0.15</v>
      </c>
      <c r="HV81" s="3" t="s">
        <v>190</v>
      </c>
      <c r="HW81" s="3" t="s">
        <v>660</v>
      </c>
      <c r="IR81" s="62">
        <f t="shared" si="18"/>
        <v>0</v>
      </c>
      <c r="IS81" s="62">
        <f t="shared" si="19"/>
        <v>0</v>
      </c>
    </row>
    <row r="82" spans="1:253" x14ac:dyDescent="0.25">
      <c r="A82" s="60">
        <v>44</v>
      </c>
      <c r="B82" s="3" t="s">
        <v>51</v>
      </c>
      <c r="C82" s="3" t="s">
        <v>210</v>
      </c>
      <c r="D82" s="5" t="s">
        <v>211</v>
      </c>
      <c r="E82" s="3" t="s">
        <v>58</v>
      </c>
      <c r="F82" s="3" t="s">
        <v>661</v>
      </c>
      <c r="G82" s="38">
        <f>'Stavební rozpočet'!G67</f>
        <v>7</v>
      </c>
      <c r="H82" s="38">
        <f>'Stavební rozpočet'!H67</f>
        <v>0</v>
      </c>
      <c r="I82" s="38">
        <f t="shared" si="14"/>
        <v>0</v>
      </c>
      <c r="J82" s="38">
        <f t="shared" si="15"/>
        <v>0</v>
      </c>
      <c r="K82" s="38">
        <f t="shared" si="16"/>
        <v>0</v>
      </c>
      <c r="L82" s="38">
        <f>'Stavební rozpočet'!N67</f>
        <v>3.0000000000000001E-3</v>
      </c>
      <c r="M82" s="61">
        <f t="shared" si="17"/>
        <v>2.1000000000000001E-2</v>
      </c>
      <c r="HV82" s="3" t="s">
        <v>190</v>
      </c>
      <c r="HW82" s="3" t="s">
        <v>660</v>
      </c>
      <c r="IR82" s="62">
        <f t="shared" si="18"/>
        <v>0</v>
      </c>
      <c r="IS82" s="62">
        <f t="shared" si="19"/>
        <v>0</v>
      </c>
    </row>
    <row r="83" spans="1:253" x14ac:dyDescent="0.25">
      <c r="A83" s="60">
        <v>45</v>
      </c>
      <c r="B83" s="3" t="s">
        <v>51</v>
      </c>
      <c r="C83" s="3" t="s">
        <v>213</v>
      </c>
      <c r="D83" s="5" t="s">
        <v>214</v>
      </c>
      <c r="E83" s="3" t="s">
        <v>58</v>
      </c>
      <c r="F83" s="3" t="s">
        <v>662</v>
      </c>
      <c r="G83" s="38">
        <f>'Stavební rozpočet'!G69</f>
        <v>8</v>
      </c>
      <c r="H83" s="38">
        <f>'Stavební rozpočet'!H69</f>
        <v>0</v>
      </c>
      <c r="I83" s="38">
        <f t="shared" si="14"/>
        <v>0</v>
      </c>
      <c r="J83" s="38">
        <f t="shared" si="15"/>
        <v>0</v>
      </c>
      <c r="K83" s="38">
        <f t="shared" si="16"/>
        <v>0</v>
      </c>
      <c r="L83" s="38">
        <f>'Stavební rozpočet'!N69</f>
        <v>0.03</v>
      </c>
      <c r="M83" s="61">
        <f t="shared" si="17"/>
        <v>0.24</v>
      </c>
      <c r="HV83" s="3" t="s">
        <v>190</v>
      </c>
      <c r="HW83" s="3" t="s">
        <v>660</v>
      </c>
      <c r="IR83" s="62">
        <f t="shared" si="18"/>
        <v>0</v>
      </c>
      <c r="IS83" s="62">
        <f t="shared" si="19"/>
        <v>0</v>
      </c>
    </row>
    <row r="84" spans="1:253" x14ac:dyDescent="0.25">
      <c r="A84" s="60">
        <v>46</v>
      </c>
      <c r="B84" s="3" t="s">
        <v>51</v>
      </c>
      <c r="C84" s="3" t="s">
        <v>216</v>
      </c>
      <c r="D84" s="5" t="s">
        <v>217</v>
      </c>
      <c r="E84" s="3" t="s">
        <v>58</v>
      </c>
      <c r="F84" s="3" t="s">
        <v>663</v>
      </c>
      <c r="G84" s="38">
        <f>'Stavební rozpočet'!G71</f>
        <v>3</v>
      </c>
      <c r="H84" s="38">
        <f>'Stavební rozpočet'!H71</f>
        <v>0</v>
      </c>
      <c r="I84" s="38">
        <f t="shared" si="14"/>
        <v>0</v>
      </c>
      <c r="J84" s="38">
        <f t="shared" si="15"/>
        <v>0</v>
      </c>
      <c r="K84" s="38">
        <f t="shared" si="16"/>
        <v>0</v>
      </c>
      <c r="L84" s="38">
        <f>'Stavební rozpočet'!N71</f>
        <v>1E-3</v>
      </c>
      <c r="M84" s="61">
        <f t="shared" si="17"/>
        <v>3.0000000000000001E-3</v>
      </c>
      <c r="HV84" s="3" t="s">
        <v>190</v>
      </c>
      <c r="HW84" s="3" t="s">
        <v>660</v>
      </c>
      <c r="IR84" s="62">
        <f t="shared" si="18"/>
        <v>0</v>
      </c>
      <c r="IS84" s="62">
        <f t="shared" si="19"/>
        <v>0</v>
      </c>
    </row>
    <row r="85" spans="1:253" x14ac:dyDescent="0.25">
      <c r="A85" s="60">
        <v>47</v>
      </c>
      <c r="B85" s="3" t="s">
        <v>51</v>
      </c>
      <c r="C85" s="3" t="s">
        <v>219</v>
      </c>
      <c r="D85" s="5" t="s">
        <v>220</v>
      </c>
      <c r="E85" s="3" t="s">
        <v>58</v>
      </c>
      <c r="F85" s="3" t="s">
        <v>664</v>
      </c>
      <c r="G85" s="38">
        <f>'Stavební rozpočet'!G73</f>
        <v>1</v>
      </c>
      <c r="H85" s="38">
        <f>'Stavební rozpočet'!H73</f>
        <v>0</v>
      </c>
      <c r="I85" s="38">
        <f t="shared" si="14"/>
        <v>0</v>
      </c>
      <c r="J85" s="38">
        <f t="shared" si="15"/>
        <v>0</v>
      </c>
      <c r="K85" s="38">
        <f t="shared" si="16"/>
        <v>0</v>
      </c>
      <c r="L85" s="38">
        <f>'Stavební rozpočet'!N73</f>
        <v>0.1</v>
      </c>
      <c r="M85" s="61">
        <f t="shared" si="17"/>
        <v>0.1</v>
      </c>
      <c r="HV85" s="3" t="s">
        <v>190</v>
      </c>
      <c r="HW85" s="3" t="s">
        <v>660</v>
      </c>
      <c r="IR85" s="62">
        <f t="shared" si="18"/>
        <v>0</v>
      </c>
      <c r="IS85" s="62">
        <f t="shared" si="19"/>
        <v>0</v>
      </c>
    </row>
    <row r="86" spans="1:253" x14ac:dyDescent="0.25">
      <c r="A86" s="60">
        <v>48</v>
      </c>
      <c r="B86" s="3" t="s">
        <v>51</v>
      </c>
      <c r="C86" s="3" t="s">
        <v>222</v>
      </c>
      <c r="D86" s="5" t="s">
        <v>223</v>
      </c>
      <c r="E86" s="3" t="s">
        <v>58</v>
      </c>
      <c r="F86" s="3" t="s">
        <v>665</v>
      </c>
      <c r="G86" s="38">
        <f>'Stavební rozpočet'!G75</f>
        <v>1</v>
      </c>
      <c r="H86" s="38">
        <f>'Stavební rozpočet'!H75</f>
        <v>0</v>
      </c>
      <c r="I86" s="38">
        <f t="shared" si="14"/>
        <v>0</v>
      </c>
      <c r="J86" s="38">
        <f t="shared" si="15"/>
        <v>0</v>
      </c>
      <c r="K86" s="38">
        <f t="shared" si="16"/>
        <v>0</v>
      </c>
      <c r="L86" s="38">
        <f>'Stavební rozpočet'!N75</f>
        <v>0.1</v>
      </c>
      <c r="M86" s="61">
        <f t="shared" si="17"/>
        <v>0.1</v>
      </c>
      <c r="HV86" s="3" t="s">
        <v>190</v>
      </c>
      <c r="HW86" s="3" t="s">
        <v>660</v>
      </c>
      <c r="IR86" s="62">
        <f t="shared" si="18"/>
        <v>0</v>
      </c>
      <c r="IS86" s="62">
        <f t="shared" si="19"/>
        <v>0</v>
      </c>
    </row>
    <row r="87" spans="1:253" x14ac:dyDescent="0.25">
      <c r="A87" s="60">
        <v>49</v>
      </c>
      <c r="B87" s="3" t="s">
        <v>51</v>
      </c>
      <c r="C87" s="3" t="s">
        <v>225</v>
      </c>
      <c r="D87" s="5" t="s">
        <v>226</v>
      </c>
      <c r="E87" s="3" t="s">
        <v>58</v>
      </c>
      <c r="F87" s="3" t="s">
        <v>666</v>
      </c>
      <c r="G87" s="38">
        <f>'Stavební rozpočet'!G77</f>
        <v>1</v>
      </c>
      <c r="H87" s="38">
        <f>'Stavební rozpočet'!H77</f>
        <v>0</v>
      </c>
      <c r="I87" s="38">
        <f t="shared" si="14"/>
        <v>0</v>
      </c>
      <c r="J87" s="38">
        <f t="shared" si="15"/>
        <v>0</v>
      </c>
      <c r="K87" s="38">
        <f t="shared" si="16"/>
        <v>0</v>
      </c>
      <c r="L87" s="38">
        <f>'Stavební rozpočet'!N77</f>
        <v>0.1</v>
      </c>
      <c r="M87" s="61">
        <f t="shared" si="17"/>
        <v>0.1</v>
      </c>
      <c r="HV87" s="3" t="s">
        <v>190</v>
      </c>
      <c r="HW87" s="3" t="s">
        <v>660</v>
      </c>
      <c r="IR87" s="62">
        <f t="shared" si="18"/>
        <v>0</v>
      </c>
      <c r="IS87" s="62">
        <f t="shared" si="19"/>
        <v>0</v>
      </c>
    </row>
    <row r="88" spans="1:253" x14ac:dyDescent="0.25">
      <c r="A88" s="60">
        <v>50</v>
      </c>
      <c r="B88" s="3" t="s">
        <v>51</v>
      </c>
      <c r="C88" s="3" t="s">
        <v>228</v>
      </c>
      <c r="D88" s="5" t="s">
        <v>229</v>
      </c>
      <c r="E88" s="3" t="s">
        <v>58</v>
      </c>
      <c r="F88" s="3" t="s">
        <v>667</v>
      </c>
      <c r="G88" s="38">
        <f>'Stavební rozpočet'!G79</f>
        <v>1</v>
      </c>
      <c r="H88" s="38">
        <f>'Stavební rozpočet'!H79</f>
        <v>0</v>
      </c>
      <c r="I88" s="38">
        <f t="shared" si="14"/>
        <v>0</v>
      </c>
      <c r="J88" s="38">
        <f t="shared" si="15"/>
        <v>0</v>
      </c>
      <c r="K88" s="38">
        <f t="shared" si="16"/>
        <v>0</v>
      </c>
      <c r="L88" s="38">
        <f>'Stavební rozpočet'!N79</f>
        <v>0.1</v>
      </c>
      <c r="M88" s="61">
        <f t="shared" si="17"/>
        <v>0.1</v>
      </c>
      <c r="HV88" s="3" t="s">
        <v>190</v>
      </c>
      <c r="HW88" s="3" t="s">
        <v>660</v>
      </c>
      <c r="IR88" s="62">
        <f t="shared" si="18"/>
        <v>0</v>
      </c>
      <c r="IS88" s="62">
        <f t="shared" si="19"/>
        <v>0</v>
      </c>
    </row>
    <row r="89" spans="1:253" x14ac:dyDescent="0.25">
      <c r="A89" s="60">
        <v>51</v>
      </c>
      <c r="B89" s="3" t="s">
        <v>51</v>
      </c>
      <c r="C89" s="3" t="s">
        <v>231</v>
      </c>
      <c r="D89" s="5" t="s">
        <v>232</v>
      </c>
      <c r="E89" s="3" t="s">
        <v>58</v>
      </c>
      <c r="F89" s="3" t="s">
        <v>668</v>
      </c>
      <c r="G89" s="38">
        <f>'Stavební rozpočet'!G81</f>
        <v>1</v>
      </c>
      <c r="H89" s="38">
        <f>'Stavební rozpočet'!H81</f>
        <v>0</v>
      </c>
      <c r="I89" s="38">
        <f t="shared" si="14"/>
        <v>0</v>
      </c>
      <c r="J89" s="38">
        <f t="shared" si="15"/>
        <v>0</v>
      </c>
      <c r="K89" s="38">
        <f t="shared" si="16"/>
        <v>0</v>
      </c>
      <c r="L89" s="38">
        <f>'Stavební rozpočet'!N81</f>
        <v>0.1</v>
      </c>
      <c r="M89" s="61">
        <f t="shared" si="17"/>
        <v>0.1</v>
      </c>
      <c r="HV89" s="3" t="s">
        <v>190</v>
      </c>
      <c r="HW89" s="3" t="s">
        <v>660</v>
      </c>
      <c r="IR89" s="62">
        <f t="shared" si="18"/>
        <v>0</v>
      </c>
      <c r="IS89" s="62">
        <f t="shared" si="19"/>
        <v>0</v>
      </c>
    </row>
    <row r="90" spans="1:253" x14ac:dyDescent="0.25">
      <c r="A90" s="60">
        <v>52</v>
      </c>
      <c r="B90" s="3" t="s">
        <v>51</v>
      </c>
      <c r="C90" s="3" t="s">
        <v>234</v>
      </c>
      <c r="D90" s="5" t="s">
        <v>235</v>
      </c>
      <c r="E90" s="3" t="s">
        <v>58</v>
      </c>
      <c r="F90" s="3" t="s">
        <v>669</v>
      </c>
      <c r="G90" s="38">
        <f>'Stavební rozpočet'!G83</f>
        <v>1</v>
      </c>
      <c r="H90" s="38">
        <f>'Stavební rozpočet'!H83</f>
        <v>0</v>
      </c>
      <c r="I90" s="38">
        <f t="shared" si="14"/>
        <v>0</v>
      </c>
      <c r="J90" s="38">
        <f t="shared" si="15"/>
        <v>0</v>
      </c>
      <c r="K90" s="38">
        <f t="shared" si="16"/>
        <v>0</v>
      </c>
      <c r="L90" s="38">
        <f>'Stavební rozpočet'!N83</f>
        <v>0.1</v>
      </c>
      <c r="M90" s="61">
        <f t="shared" si="17"/>
        <v>0.1</v>
      </c>
      <c r="HV90" s="3" t="s">
        <v>190</v>
      </c>
      <c r="HW90" s="3" t="s">
        <v>660</v>
      </c>
      <c r="IR90" s="62">
        <f t="shared" si="18"/>
        <v>0</v>
      </c>
      <c r="IS90" s="62">
        <f t="shared" si="19"/>
        <v>0</v>
      </c>
    </row>
    <row r="91" spans="1:253" x14ac:dyDescent="0.25">
      <c r="A91" s="60">
        <v>53</v>
      </c>
      <c r="B91" s="3" t="s">
        <v>51</v>
      </c>
      <c r="C91" s="3" t="s">
        <v>237</v>
      </c>
      <c r="D91" s="5" t="s">
        <v>238</v>
      </c>
      <c r="E91" s="3" t="s">
        <v>58</v>
      </c>
      <c r="F91" s="3" t="s">
        <v>670</v>
      </c>
      <c r="G91" s="38">
        <f>'Stavební rozpočet'!G85</f>
        <v>1</v>
      </c>
      <c r="H91" s="38">
        <f>'Stavební rozpočet'!H85</f>
        <v>0</v>
      </c>
      <c r="I91" s="38">
        <f t="shared" si="14"/>
        <v>0</v>
      </c>
      <c r="J91" s="38">
        <f t="shared" si="15"/>
        <v>0</v>
      </c>
      <c r="K91" s="38">
        <f t="shared" si="16"/>
        <v>0</v>
      </c>
      <c r="L91" s="38">
        <f>'Stavební rozpočet'!N85</f>
        <v>0.1</v>
      </c>
      <c r="M91" s="61">
        <f t="shared" si="17"/>
        <v>0.1</v>
      </c>
      <c r="HV91" s="3" t="s">
        <v>190</v>
      </c>
      <c r="HW91" s="3" t="s">
        <v>660</v>
      </c>
      <c r="IR91" s="62">
        <f t="shared" si="18"/>
        <v>0</v>
      </c>
      <c r="IS91" s="62">
        <f t="shared" si="19"/>
        <v>0</v>
      </c>
    </row>
    <row r="92" spans="1:253" x14ac:dyDescent="0.25">
      <c r="A92" s="60">
        <v>54</v>
      </c>
      <c r="B92" s="3" t="s">
        <v>51</v>
      </c>
      <c r="C92" s="3" t="s">
        <v>237</v>
      </c>
      <c r="D92" s="5" t="s">
        <v>240</v>
      </c>
      <c r="E92" s="3" t="s">
        <v>58</v>
      </c>
      <c r="F92" s="3" t="s">
        <v>671</v>
      </c>
      <c r="G92" s="38">
        <f>'Stavební rozpočet'!G86</f>
        <v>1</v>
      </c>
      <c r="H92" s="38">
        <f>'Stavební rozpočet'!H86</f>
        <v>0</v>
      </c>
      <c r="I92" s="38">
        <f t="shared" si="14"/>
        <v>0</v>
      </c>
      <c r="J92" s="38">
        <f t="shared" si="15"/>
        <v>0</v>
      </c>
      <c r="K92" s="38">
        <f t="shared" si="16"/>
        <v>0</v>
      </c>
      <c r="L92" s="38">
        <f>'Stavební rozpočet'!N86</f>
        <v>0.1</v>
      </c>
      <c r="M92" s="61">
        <f t="shared" si="17"/>
        <v>0.1</v>
      </c>
      <c r="HV92" s="3" t="s">
        <v>190</v>
      </c>
      <c r="HW92" s="3" t="s">
        <v>660</v>
      </c>
      <c r="IR92" s="62">
        <f t="shared" si="18"/>
        <v>0</v>
      </c>
      <c r="IS92" s="62">
        <f t="shared" si="19"/>
        <v>0</v>
      </c>
    </row>
    <row r="93" spans="1:253" x14ac:dyDescent="0.25">
      <c r="A93" s="60">
        <v>55</v>
      </c>
      <c r="B93" s="3" t="s">
        <v>51</v>
      </c>
      <c r="C93" s="3" t="s">
        <v>242</v>
      </c>
      <c r="D93" s="5" t="s">
        <v>243</v>
      </c>
      <c r="E93" s="3" t="s">
        <v>58</v>
      </c>
      <c r="F93" s="3" t="s">
        <v>672</v>
      </c>
      <c r="G93" s="38">
        <f>'Stavební rozpočet'!G88</f>
        <v>1</v>
      </c>
      <c r="H93" s="38">
        <f>'Stavební rozpočet'!H88</f>
        <v>0</v>
      </c>
      <c r="I93" s="38">
        <f t="shared" si="14"/>
        <v>0</v>
      </c>
      <c r="J93" s="38">
        <f t="shared" si="15"/>
        <v>0</v>
      </c>
      <c r="K93" s="38">
        <f t="shared" si="16"/>
        <v>0</v>
      </c>
      <c r="L93" s="38">
        <f>'Stavební rozpočet'!N88</f>
        <v>0.1</v>
      </c>
      <c r="M93" s="61">
        <f t="shared" si="17"/>
        <v>0.1</v>
      </c>
      <c r="HV93" s="3" t="s">
        <v>190</v>
      </c>
      <c r="HW93" s="3" t="s">
        <v>660</v>
      </c>
      <c r="IR93" s="62">
        <f t="shared" si="18"/>
        <v>0</v>
      </c>
      <c r="IS93" s="62">
        <f t="shared" si="19"/>
        <v>0</v>
      </c>
    </row>
    <row r="94" spans="1:253" x14ac:dyDescent="0.25">
      <c r="A94" s="58" t="s">
        <v>4</v>
      </c>
      <c r="B94" s="34" t="s">
        <v>51</v>
      </c>
      <c r="C94" s="34" t="s">
        <v>244</v>
      </c>
      <c r="D94" s="35" t="s">
        <v>245</v>
      </c>
      <c r="E94" s="34" t="s">
        <v>4</v>
      </c>
      <c r="F94" s="34" t="s">
        <v>4</v>
      </c>
      <c r="G94" s="13" t="s">
        <v>4</v>
      </c>
      <c r="H94" s="13" t="s">
        <v>4</v>
      </c>
      <c r="I94" s="1">
        <f>SUM(I95:I95)</f>
        <v>0</v>
      </c>
      <c r="J94" s="1">
        <f>SUM(J95:J95)</f>
        <v>0</v>
      </c>
      <c r="K94" s="1">
        <f>SUM(K95:K95)</f>
        <v>0</v>
      </c>
      <c r="L94" s="13" t="s">
        <v>4</v>
      </c>
      <c r="M94" s="59">
        <f>SUM(M95:M95)</f>
        <v>0</v>
      </c>
    </row>
    <row r="95" spans="1:253" x14ac:dyDescent="0.25">
      <c r="A95" s="60">
        <v>56</v>
      </c>
      <c r="B95" s="3" t="s">
        <v>51</v>
      </c>
      <c r="C95" s="3" t="s">
        <v>247</v>
      </c>
      <c r="D95" s="5" t="s">
        <v>248</v>
      </c>
      <c r="E95" s="3" t="s">
        <v>140</v>
      </c>
      <c r="F95" s="3" t="s">
        <v>55</v>
      </c>
      <c r="G95" s="38">
        <f>'Stavební rozpočet'!G91</f>
        <v>1</v>
      </c>
      <c r="H95" s="38">
        <f>'Stavební rozpočet'!H91</f>
        <v>0</v>
      </c>
      <c r="I95" s="38">
        <f>IR95*G95</f>
        <v>0</v>
      </c>
      <c r="J95" s="38">
        <f>IS95*G95</f>
        <v>0</v>
      </c>
      <c r="K95" s="38">
        <f>IR95*G95+IS95*G95</f>
        <v>0</v>
      </c>
      <c r="L95" s="38">
        <f>'Stavební rozpočet'!N91</f>
        <v>0</v>
      </c>
      <c r="M95" s="61">
        <f>L95*G95</f>
        <v>0</v>
      </c>
      <c r="HV95" s="3" t="s">
        <v>244</v>
      </c>
      <c r="HW95" s="3" t="s">
        <v>608</v>
      </c>
      <c r="IR95" s="62">
        <f>H95*0</f>
        <v>0</v>
      </c>
      <c r="IS95" s="62">
        <f>H95*(1-0)</f>
        <v>0</v>
      </c>
    </row>
    <row r="96" spans="1:253" x14ac:dyDescent="0.25">
      <c r="A96" s="58" t="s">
        <v>4</v>
      </c>
      <c r="B96" s="34" t="s">
        <v>51</v>
      </c>
      <c r="C96" s="34" t="s">
        <v>175</v>
      </c>
      <c r="D96" s="35" t="s">
        <v>250</v>
      </c>
      <c r="E96" s="34" t="s">
        <v>4</v>
      </c>
      <c r="F96" s="34" t="s">
        <v>4</v>
      </c>
      <c r="G96" s="13" t="s">
        <v>4</v>
      </c>
      <c r="H96" s="13" t="s">
        <v>4</v>
      </c>
      <c r="I96" s="1">
        <f>SUM(I97:I103)</f>
        <v>0</v>
      </c>
      <c r="J96" s="1">
        <f>SUM(J97:J103)</f>
        <v>0</v>
      </c>
      <c r="K96" s="1">
        <f>SUM(K97:K103)</f>
        <v>0</v>
      </c>
      <c r="L96" s="13" t="s">
        <v>4</v>
      </c>
      <c r="M96" s="59">
        <f>SUM(M97:M103)</f>
        <v>2.1082055854999999</v>
      </c>
    </row>
    <row r="97" spans="1:253" x14ac:dyDescent="0.25">
      <c r="A97" s="60">
        <v>57</v>
      </c>
      <c r="B97" s="3" t="s">
        <v>51</v>
      </c>
      <c r="C97" s="3" t="s">
        <v>252</v>
      </c>
      <c r="D97" s="5" t="s">
        <v>253</v>
      </c>
      <c r="E97" s="3" t="s">
        <v>83</v>
      </c>
      <c r="F97" s="3" t="s">
        <v>673</v>
      </c>
      <c r="G97" s="38">
        <f>'Stavební rozpočet'!G93</f>
        <v>9.766</v>
      </c>
      <c r="H97" s="38">
        <f>'Stavební rozpočet'!H93</f>
        <v>0</v>
      </c>
      <c r="I97" s="38">
        <f>IR97*G97</f>
        <v>0</v>
      </c>
      <c r="J97" s="38">
        <f>IS97*G97</f>
        <v>0</v>
      </c>
      <c r="K97" s="38">
        <f>IR97*G97+IS97*G97</f>
        <v>0</v>
      </c>
      <c r="L97" s="38">
        <f>'Stavební rozpočet'!N93</f>
        <v>0.13802</v>
      </c>
      <c r="M97" s="61">
        <f>L97*G97</f>
        <v>1.3479033200000001</v>
      </c>
      <c r="HV97" s="3" t="s">
        <v>175</v>
      </c>
      <c r="HW97" s="3" t="s">
        <v>608</v>
      </c>
      <c r="IR97" s="62">
        <f>H97*0.655216</f>
        <v>0</v>
      </c>
      <c r="IS97" s="62">
        <f>H97*(1-0.655216)</f>
        <v>0</v>
      </c>
    </row>
    <row r="98" spans="1:253" x14ac:dyDescent="0.25">
      <c r="A98" s="60">
        <v>58</v>
      </c>
      <c r="B98" s="3" t="s">
        <v>51</v>
      </c>
      <c r="C98" s="3" t="s">
        <v>257</v>
      </c>
      <c r="D98" s="5" t="s">
        <v>258</v>
      </c>
      <c r="E98" s="3" t="s">
        <v>125</v>
      </c>
      <c r="F98" s="3" t="s">
        <v>674</v>
      </c>
      <c r="G98" s="38">
        <f>'Stavební rozpočet'!G95</f>
        <v>0.36899999999999999</v>
      </c>
      <c r="H98" s="38">
        <f>'Stavební rozpočet'!H95</f>
        <v>0</v>
      </c>
      <c r="I98" s="38">
        <f>IR98*G98</f>
        <v>0</v>
      </c>
      <c r="J98" s="38">
        <f>IS98*G98</f>
        <v>0</v>
      </c>
      <c r="K98" s="38">
        <f>IR98*G98+IS98*G98</f>
        <v>0</v>
      </c>
      <c r="L98" s="38">
        <f>'Stavební rozpočet'!N95</f>
        <v>0.76182000000000005</v>
      </c>
      <c r="M98" s="61">
        <f>L98*G98</f>
        <v>0.28111158000000003</v>
      </c>
      <c r="HV98" s="3" t="s">
        <v>175</v>
      </c>
      <c r="HW98" s="3" t="s">
        <v>608</v>
      </c>
      <c r="IR98" s="62">
        <f>H98*0.76184777</f>
        <v>0</v>
      </c>
      <c r="IS98" s="62">
        <f>H98*(1-0.76184777)</f>
        <v>0</v>
      </c>
    </row>
    <row r="99" spans="1:253" x14ac:dyDescent="0.25">
      <c r="A99" s="144" t="s">
        <v>50</v>
      </c>
      <c r="B99" s="107"/>
      <c r="C99" s="107"/>
      <c r="D99" s="107"/>
      <c r="E99" s="107"/>
      <c r="F99" s="3" t="s">
        <v>675</v>
      </c>
      <c r="G99" s="38">
        <v>0.1845</v>
      </c>
      <c r="H99" s="38">
        <f>'Stavební rozpočet'!H95</f>
        <v>0</v>
      </c>
      <c r="M99" s="63"/>
      <c r="HV99" s="3" t="s">
        <v>175</v>
      </c>
      <c r="HW99" s="3" t="s">
        <v>608</v>
      </c>
      <c r="IR99" s="62">
        <f>H99*0.76184777</f>
        <v>0</v>
      </c>
      <c r="IS99" s="62">
        <f>H99*(1-0.76184777)</f>
        <v>0</v>
      </c>
    </row>
    <row r="100" spans="1:253" x14ac:dyDescent="0.25">
      <c r="A100" s="60">
        <v>59</v>
      </c>
      <c r="B100" s="3" t="s">
        <v>51</v>
      </c>
      <c r="C100" s="3" t="s">
        <v>260</v>
      </c>
      <c r="D100" s="5" t="s">
        <v>261</v>
      </c>
      <c r="E100" s="3" t="s">
        <v>125</v>
      </c>
      <c r="F100" s="3" t="s">
        <v>676</v>
      </c>
      <c r="G100" s="38">
        <f>'Stavební rozpočet'!G96</f>
        <v>0.27675</v>
      </c>
      <c r="H100" s="38">
        <f>'Stavební rozpočet'!H96</f>
        <v>0</v>
      </c>
      <c r="I100" s="38">
        <f>IR100*G100</f>
        <v>0</v>
      </c>
      <c r="J100" s="38">
        <f>IS100*G100</f>
        <v>0</v>
      </c>
      <c r="K100" s="38">
        <f>IR100*G100+IS100*G100</f>
        <v>0</v>
      </c>
      <c r="L100" s="38">
        <f>'Stavební rozpočet'!N96</f>
        <v>0.76605000000000001</v>
      </c>
      <c r="M100" s="61">
        <f>L100*G100</f>
        <v>0.2120043375</v>
      </c>
      <c r="HV100" s="3" t="s">
        <v>175</v>
      </c>
      <c r="HW100" s="3" t="s">
        <v>608</v>
      </c>
      <c r="IR100" s="62">
        <f>H100*0.75520095</f>
        <v>0</v>
      </c>
      <c r="IS100" s="62">
        <f>H100*(1-0.75520095)</f>
        <v>0</v>
      </c>
    </row>
    <row r="101" spans="1:253" x14ac:dyDescent="0.25">
      <c r="A101" s="60">
        <v>60</v>
      </c>
      <c r="B101" s="3" t="s">
        <v>51</v>
      </c>
      <c r="C101" s="3" t="s">
        <v>264</v>
      </c>
      <c r="D101" s="5" t="s">
        <v>265</v>
      </c>
      <c r="E101" s="3" t="s">
        <v>83</v>
      </c>
      <c r="F101" s="3" t="s">
        <v>677</v>
      </c>
      <c r="G101" s="38">
        <f>'Stavební rozpočet'!G98</f>
        <v>11.906700000000001</v>
      </c>
      <c r="H101" s="38">
        <f>'Stavební rozpočet'!H98</f>
        <v>0</v>
      </c>
      <c r="I101" s="38">
        <f>IR101*G101</f>
        <v>0</v>
      </c>
      <c r="J101" s="38">
        <f>IS101*G101</f>
        <v>0</v>
      </c>
      <c r="K101" s="38">
        <f>IR101*G101+IS101*G101</f>
        <v>0</v>
      </c>
      <c r="L101" s="38">
        <f>'Stavební rozpočet'!N98</f>
        <v>2.2440000000000002E-2</v>
      </c>
      <c r="M101" s="61">
        <f>L101*G101</f>
        <v>0.26718634800000002</v>
      </c>
      <c r="HV101" s="3" t="s">
        <v>175</v>
      </c>
      <c r="HW101" s="3" t="s">
        <v>608</v>
      </c>
      <c r="IR101" s="62">
        <f>H101*0.445899559</f>
        <v>0</v>
      </c>
      <c r="IS101" s="62">
        <f>H101*(1-0.445899559)</f>
        <v>0</v>
      </c>
    </row>
    <row r="102" spans="1:253" x14ac:dyDescent="0.25">
      <c r="A102" s="144" t="s">
        <v>50</v>
      </c>
      <c r="B102" s="107"/>
      <c r="C102" s="107"/>
      <c r="D102" s="107"/>
      <c r="E102" s="107"/>
      <c r="F102" s="3" t="s">
        <v>678</v>
      </c>
      <c r="G102" s="38">
        <v>4.2625000000000002</v>
      </c>
      <c r="H102" s="38">
        <f>'Stavební rozpočet'!H98</f>
        <v>0</v>
      </c>
      <c r="M102" s="63"/>
      <c r="HV102" s="3" t="s">
        <v>175</v>
      </c>
      <c r="HW102" s="3" t="s">
        <v>608</v>
      </c>
      <c r="IR102" s="62">
        <f>H102*0.445899559</f>
        <v>0</v>
      </c>
      <c r="IS102" s="62">
        <f>H102*(1-0.445899559)</f>
        <v>0</v>
      </c>
    </row>
    <row r="103" spans="1:253" x14ac:dyDescent="0.25">
      <c r="A103" s="60">
        <v>61</v>
      </c>
      <c r="B103" s="3" t="s">
        <v>51</v>
      </c>
      <c r="C103" s="3" t="s">
        <v>267</v>
      </c>
      <c r="D103" s="5" t="s">
        <v>268</v>
      </c>
      <c r="E103" s="3" t="s">
        <v>166</v>
      </c>
      <c r="F103" s="3" t="s">
        <v>50</v>
      </c>
      <c r="G103" s="38">
        <f>'Stavební rozpočet'!G99</f>
        <v>2.08765</v>
      </c>
      <c r="H103" s="38">
        <f>'Stavební rozpočet'!H99</f>
        <v>0</v>
      </c>
      <c r="I103" s="38">
        <f>IR103*G103</f>
        <v>0</v>
      </c>
      <c r="J103" s="38">
        <f>IS103*G103</f>
        <v>0</v>
      </c>
      <c r="K103" s="38">
        <f>IR103*G103+IS103*G103</f>
        <v>0</v>
      </c>
      <c r="L103" s="38">
        <f>'Stavební rozpočet'!N99</f>
        <v>0</v>
      </c>
      <c r="M103" s="61">
        <f>L103*G103</f>
        <v>0</v>
      </c>
      <c r="HV103" s="3" t="s">
        <v>175</v>
      </c>
      <c r="HW103" s="3" t="s">
        <v>608</v>
      </c>
      <c r="IR103" s="62">
        <f>H103*0</f>
        <v>0</v>
      </c>
      <c r="IS103" s="62">
        <f>H103*(1-0)</f>
        <v>0</v>
      </c>
    </row>
    <row r="104" spans="1:253" x14ac:dyDescent="0.25">
      <c r="A104" s="58" t="s">
        <v>4</v>
      </c>
      <c r="B104" s="34" t="s">
        <v>51</v>
      </c>
      <c r="C104" s="34" t="s">
        <v>199</v>
      </c>
      <c r="D104" s="35" t="s">
        <v>269</v>
      </c>
      <c r="E104" s="34" t="s">
        <v>4</v>
      </c>
      <c r="F104" s="34" t="s">
        <v>4</v>
      </c>
      <c r="G104" s="13" t="s">
        <v>4</v>
      </c>
      <c r="H104" s="13" t="s">
        <v>4</v>
      </c>
      <c r="I104" s="1">
        <f>SUM(I105:I110)</f>
        <v>0</v>
      </c>
      <c r="J104" s="1">
        <f>SUM(J105:J110)</f>
        <v>0</v>
      </c>
      <c r="K104" s="1">
        <f>SUM(K105:K110)</f>
        <v>0</v>
      </c>
      <c r="L104" s="13" t="s">
        <v>4</v>
      </c>
      <c r="M104" s="59">
        <f>SUM(M105:M110)</f>
        <v>0.56910229999999995</v>
      </c>
    </row>
    <row r="105" spans="1:253" x14ac:dyDescent="0.25">
      <c r="A105" s="60">
        <v>62</v>
      </c>
      <c r="B105" s="3" t="s">
        <v>51</v>
      </c>
      <c r="C105" s="3" t="s">
        <v>271</v>
      </c>
      <c r="D105" s="5" t="s">
        <v>272</v>
      </c>
      <c r="E105" s="3" t="s">
        <v>83</v>
      </c>
      <c r="F105" s="3" t="s">
        <v>679</v>
      </c>
      <c r="G105" s="38">
        <f>'Stavební rozpočet'!G101</f>
        <v>46.81</v>
      </c>
      <c r="H105" s="38">
        <f>'Stavební rozpočet'!H101</f>
        <v>0</v>
      </c>
      <c r="I105" s="38">
        <f>IR105*G105</f>
        <v>0</v>
      </c>
      <c r="J105" s="38">
        <f>IS105*G105</f>
        <v>0</v>
      </c>
      <c r="K105" s="38">
        <f>IR105*G105+IS105*G105</f>
        <v>0</v>
      </c>
      <c r="L105" s="38">
        <f>'Stavební rozpočet'!N101</f>
        <v>9.8300000000000002E-3</v>
      </c>
      <c r="M105" s="61">
        <f>L105*G105</f>
        <v>0.4601423</v>
      </c>
      <c r="HV105" s="3" t="s">
        <v>199</v>
      </c>
      <c r="HW105" s="3" t="s">
        <v>608</v>
      </c>
      <c r="IR105" s="62">
        <f>H105*0.781713242</f>
        <v>0</v>
      </c>
      <c r="IS105" s="62">
        <f>H105*(1-0.781713242)</f>
        <v>0</v>
      </c>
    </row>
    <row r="106" spans="1:253" x14ac:dyDescent="0.25">
      <c r="A106" s="60">
        <v>63</v>
      </c>
      <c r="B106" s="3" t="s">
        <v>51</v>
      </c>
      <c r="C106" s="3" t="s">
        <v>277</v>
      </c>
      <c r="D106" s="5" t="s">
        <v>278</v>
      </c>
      <c r="E106" s="3" t="s">
        <v>83</v>
      </c>
      <c r="F106" s="3" t="s">
        <v>680</v>
      </c>
      <c r="G106" s="38">
        <f>'Stavební rozpočet'!G103</f>
        <v>4</v>
      </c>
      <c r="H106" s="38">
        <f>'Stavební rozpočet'!H103</f>
        <v>0</v>
      </c>
      <c r="I106" s="38">
        <f>IR106*G106</f>
        <v>0</v>
      </c>
      <c r="J106" s="38">
        <f>IS106*G106</f>
        <v>0</v>
      </c>
      <c r="K106" s="38">
        <f>IR106*G106+IS106*G106</f>
        <v>0</v>
      </c>
      <c r="L106" s="38">
        <f>'Stavební rozpočet'!N103</f>
        <v>2.724E-2</v>
      </c>
      <c r="M106" s="61">
        <f>L106*G106</f>
        <v>0.10896</v>
      </c>
      <c r="HV106" s="3" t="s">
        <v>199</v>
      </c>
      <c r="HW106" s="3" t="s">
        <v>608</v>
      </c>
      <c r="IR106" s="62">
        <f>H106*0.509</f>
        <v>0</v>
      </c>
      <c r="IS106" s="62">
        <f>H106*(1-0.509)</f>
        <v>0</v>
      </c>
    </row>
    <row r="107" spans="1:253" x14ac:dyDescent="0.25">
      <c r="A107" s="60">
        <v>64</v>
      </c>
      <c r="B107" s="3" t="s">
        <v>51</v>
      </c>
      <c r="C107" s="3" t="s">
        <v>280</v>
      </c>
      <c r="D107" s="5" t="s">
        <v>281</v>
      </c>
      <c r="E107" s="3" t="s">
        <v>83</v>
      </c>
      <c r="F107" s="3" t="s">
        <v>681</v>
      </c>
      <c r="G107" s="38">
        <f>'Stavební rozpočet'!G104</f>
        <v>8.5075000000000003</v>
      </c>
      <c r="H107" s="38">
        <f>'Stavební rozpočet'!H104</f>
        <v>0</v>
      </c>
      <c r="I107" s="38">
        <f>IR107*G107</f>
        <v>0</v>
      </c>
      <c r="J107" s="38">
        <f>IS107*G107</f>
        <v>0</v>
      </c>
      <c r="K107" s="38">
        <f>IR107*G107+IS107*G107</f>
        <v>0</v>
      </c>
      <c r="L107" s="38">
        <f>'Stavební rozpočet'!N104</f>
        <v>0</v>
      </c>
      <c r="M107" s="61">
        <f>L107*G107</f>
        <v>0</v>
      </c>
      <c r="HV107" s="3" t="s">
        <v>199</v>
      </c>
      <c r="HW107" s="3" t="s">
        <v>608</v>
      </c>
      <c r="IR107" s="62">
        <f>H107*0</f>
        <v>0</v>
      </c>
      <c r="IS107" s="62">
        <f>H107*(1-0)</f>
        <v>0</v>
      </c>
    </row>
    <row r="108" spans="1:253" x14ac:dyDescent="0.25">
      <c r="A108" s="144" t="s">
        <v>50</v>
      </c>
      <c r="B108" s="107"/>
      <c r="C108" s="107"/>
      <c r="D108" s="107"/>
      <c r="E108" s="107"/>
      <c r="F108" s="3" t="s">
        <v>618</v>
      </c>
      <c r="G108" s="38">
        <v>4.63</v>
      </c>
      <c r="H108" s="38">
        <f>'Stavební rozpočet'!H104</f>
        <v>0</v>
      </c>
      <c r="M108" s="63"/>
      <c r="HV108" s="3" t="s">
        <v>199</v>
      </c>
      <c r="HW108" s="3" t="s">
        <v>608</v>
      </c>
      <c r="IR108" s="62">
        <f>H108*0</f>
        <v>0</v>
      </c>
      <c r="IS108" s="62">
        <f>H108*(1-0)</f>
        <v>0</v>
      </c>
    </row>
    <row r="109" spans="1:253" x14ac:dyDescent="0.25">
      <c r="A109" s="60">
        <v>65</v>
      </c>
      <c r="B109" s="3" t="s">
        <v>51</v>
      </c>
      <c r="C109" s="3" t="s">
        <v>284</v>
      </c>
      <c r="D109" s="5" t="s">
        <v>285</v>
      </c>
      <c r="E109" s="3" t="s">
        <v>83</v>
      </c>
      <c r="F109" s="3" t="s">
        <v>682</v>
      </c>
      <c r="G109" s="38">
        <f>'Stavební rozpočet'!G106</f>
        <v>5.43</v>
      </c>
      <c r="H109" s="38">
        <f>'Stavební rozpočet'!H106</f>
        <v>0</v>
      </c>
      <c r="I109" s="38">
        <f>IR109*G109</f>
        <v>0</v>
      </c>
      <c r="J109" s="38">
        <f>IS109*G109</f>
        <v>0</v>
      </c>
      <c r="K109" s="38">
        <f>IR109*G109+IS109*G109</f>
        <v>0</v>
      </c>
      <c r="L109" s="38">
        <f>'Stavební rozpočet'!N106</f>
        <v>0</v>
      </c>
      <c r="M109" s="61">
        <f>L109*G109</f>
        <v>0</v>
      </c>
      <c r="HV109" s="3" t="s">
        <v>199</v>
      </c>
      <c r="HW109" s="3" t="s">
        <v>608</v>
      </c>
      <c r="IR109" s="62">
        <f>H109*0</f>
        <v>0</v>
      </c>
      <c r="IS109" s="62">
        <f>H109*(1-0)</f>
        <v>0</v>
      </c>
    </row>
    <row r="110" spans="1:253" x14ac:dyDescent="0.25">
      <c r="A110" s="60">
        <v>66</v>
      </c>
      <c r="B110" s="3" t="s">
        <v>51</v>
      </c>
      <c r="C110" s="3" t="s">
        <v>267</v>
      </c>
      <c r="D110" s="5" t="s">
        <v>268</v>
      </c>
      <c r="E110" s="3" t="s">
        <v>166</v>
      </c>
      <c r="F110" s="3" t="s">
        <v>50</v>
      </c>
      <c r="G110" s="38">
        <f>'Stavební rozpočet'!G108</f>
        <v>0.46013999999999999</v>
      </c>
      <c r="H110" s="38">
        <f>'Stavební rozpočet'!H108</f>
        <v>0</v>
      </c>
      <c r="I110" s="38">
        <f>IR110*G110</f>
        <v>0</v>
      </c>
      <c r="J110" s="38">
        <f>IS110*G110</f>
        <v>0</v>
      </c>
      <c r="K110" s="38">
        <f>IR110*G110+IS110*G110</f>
        <v>0</v>
      </c>
      <c r="L110" s="38">
        <f>'Stavební rozpočet'!N108</f>
        <v>0</v>
      </c>
      <c r="M110" s="61">
        <f>L110*G110</f>
        <v>0</v>
      </c>
      <c r="HV110" s="3" t="s">
        <v>199</v>
      </c>
      <c r="HW110" s="3" t="s">
        <v>608</v>
      </c>
      <c r="IR110" s="62">
        <f>H110*0</f>
        <v>0</v>
      </c>
      <c r="IS110" s="62">
        <f>H110*(1-0)</f>
        <v>0</v>
      </c>
    </row>
    <row r="111" spans="1:253" x14ac:dyDescent="0.25">
      <c r="A111" s="58" t="s">
        <v>4</v>
      </c>
      <c r="B111" s="34" t="s">
        <v>51</v>
      </c>
      <c r="C111" s="34" t="s">
        <v>266</v>
      </c>
      <c r="D111" s="35" t="s">
        <v>288</v>
      </c>
      <c r="E111" s="34" t="s">
        <v>4</v>
      </c>
      <c r="F111" s="34" t="s">
        <v>4</v>
      </c>
      <c r="G111" s="13" t="s">
        <v>4</v>
      </c>
      <c r="H111" s="13" t="s">
        <v>4</v>
      </c>
      <c r="I111" s="1">
        <f>SUM(I112:I124)</f>
        <v>0</v>
      </c>
      <c r="J111" s="1">
        <f>SUM(J112:J124)</f>
        <v>0</v>
      </c>
      <c r="K111" s="1">
        <f>SUM(K112:K124)</f>
        <v>0</v>
      </c>
      <c r="L111" s="13" t="s">
        <v>4</v>
      </c>
      <c r="M111" s="59">
        <f>SUM(M112:M124)</f>
        <v>1.1181067339999999</v>
      </c>
    </row>
    <row r="112" spans="1:253" x14ac:dyDescent="0.25">
      <c r="A112" s="60">
        <v>67</v>
      </c>
      <c r="B112" s="3" t="s">
        <v>51</v>
      </c>
      <c r="C112" s="3" t="s">
        <v>290</v>
      </c>
      <c r="D112" s="5" t="s">
        <v>291</v>
      </c>
      <c r="E112" s="3" t="s">
        <v>83</v>
      </c>
      <c r="F112" s="3" t="s">
        <v>623</v>
      </c>
      <c r="G112" s="38">
        <f>'Stavební rozpočet'!G110</f>
        <v>142.40020000000001</v>
      </c>
      <c r="H112" s="38">
        <f>'Stavební rozpočet'!H110</f>
        <v>0</v>
      </c>
      <c r="I112" s="38">
        <f>IR112*G112</f>
        <v>0</v>
      </c>
      <c r="J112" s="38">
        <f>IS112*G112</f>
        <v>0</v>
      </c>
      <c r="K112" s="38">
        <f>IR112*G112+IS112*G112</f>
        <v>0</v>
      </c>
      <c r="L112" s="38">
        <f>'Stavební rozpočet'!N110</f>
        <v>3.6700000000000001E-3</v>
      </c>
      <c r="M112" s="61">
        <f>L112*G112</f>
        <v>0.52260873400000007</v>
      </c>
      <c r="HV112" s="3" t="s">
        <v>266</v>
      </c>
      <c r="HW112" s="3" t="s">
        <v>608</v>
      </c>
      <c r="IR112" s="62">
        <f>H112*0.265633803</f>
        <v>0</v>
      </c>
      <c r="IS112" s="62">
        <f>H112*(1-0.265633803)</f>
        <v>0</v>
      </c>
    </row>
    <row r="113" spans="1:253" ht="13.5" customHeight="1" x14ac:dyDescent="0.25">
      <c r="A113" s="41"/>
      <c r="D113" s="5" t="s">
        <v>294</v>
      </c>
      <c r="M113" s="63"/>
    </row>
    <row r="114" spans="1:253" x14ac:dyDescent="0.25">
      <c r="A114" s="144" t="s">
        <v>50</v>
      </c>
      <c r="B114" s="107"/>
      <c r="C114" s="107"/>
      <c r="D114" s="107"/>
      <c r="E114" s="107"/>
      <c r="F114" s="3" t="s">
        <v>624</v>
      </c>
      <c r="G114" s="38">
        <v>43.094000000000001</v>
      </c>
      <c r="H114" s="38">
        <f>'Stavební rozpočet'!H110</f>
        <v>0</v>
      </c>
      <c r="M114" s="63"/>
      <c r="HV114" s="3" t="s">
        <v>266</v>
      </c>
      <c r="HW114" s="3" t="s">
        <v>608</v>
      </c>
      <c r="IR114" s="62">
        <f>H114*0.265633803</f>
        <v>0</v>
      </c>
      <c r="IS114" s="62">
        <f>H114*(1-0.265633803)</f>
        <v>0</v>
      </c>
    </row>
    <row r="115" spans="1:253" x14ac:dyDescent="0.25">
      <c r="A115" s="144" t="s">
        <v>50</v>
      </c>
      <c r="B115" s="107"/>
      <c r="C115" s="107"/>
      <c r="D115" s="107"/>
      <c r="E115" s="107"/>
      <c r="F115" s="3" t="s">
        <v>625</v>
      </c>
      <c r="G115" s="38">
        <v>20.595199999999998</v>
      </c>
      <c r="H115" s="38">
        <f>'Stavební rozpočet'!H110</f>
        <v>0</v>
      </c>
      <c r="M115" s="63"/>
      <c r="HV115" s="3" t="s">
        <v>266</v>
      </c>
      <c r="HW115" s="3" t="s">
        <v>608</v>
      </c>
      <c r="IR115" s="62">
        <f>H115*0.265633803</f>
        <v>0</v>
      </c>
      <c r="IS115" s="62">
        <f>H115*(1-0.265633803)</f>
        <v>0</v>
      </c>
    </row>
    <row r="116" spans="1:253" x14ac:dyDescent="0.25">
      <c r="A116" s="144" t="s">
        <v>50</v>
      </c>
      <c r="B116" s="107"/>
      <c r="C116" s="107"/>
      <c r="D116" s="107"/>
      <c r="E116" s="107"/>
      <c r="F116" s="3" t="s">
        <v>626</v>
      </c>
      <c r="G116" s="38">
        <v>39.493000000000002</v>
      </c>
      <c r="H116" s="38">
        <f>'Stavební rozpočet'!H110</f>
        <v>0</v>
      </c>
      <c r="M116" s="63"/>
      <c r="HV116" s="3" t="s">
        <v>266</v>
      </c>
      <c r="HW116" s="3" t="s">
        <v>608</v>
      </c>
      <c r="IR116" s="62">
        <f>H116*0.265633803</f>
        <v>0</v>
      </c>
      <c r="IS116" s="62">
        <f>H116*(1-0.265633803)</f>
        <v>0</v>
      </c>
    </row>
    <row r="117" spans="1:253" x14ac:dyDescent="0.25">
      <c r="A117" s="144" t="s">
        <v>50</v>
      </c>
      <c r="B117" s="107"/>
      <c r="C117" s="107"/>
      <c r="D117" s="107"/>
      <c r="E117" s="107"/>
      <c r="F117" s="3" t="s">
        <v>627</v>
      </c>
      <c r="G117" s="38">
        <v>21.643999999999998</v>
      </c>
      <c r="H117" s="38">
        <f>'Stavební rozpočet'!H110</f>
        <v>0</v>
      </c>
      <c r="M117" s="63"/>
      <c r="HV117" s="3" t="s">
        <v>266</v>
      </c>
      <c r="HW117" s="3" t="s">
        <v>608</v>
      </c>
      <c r="IR117" s="62">
        <f>H117*0.265633803</f>
        <v>0</v>
      </c>
      <c r="IS117" s="62">
        <f>H117*(1-0.265633803)</f>
        <v>0</v>
      </c>
    </row>
    <row r="118" spans="1:253" x14ac:dyDescent="0.25">
      <c r="A118" s="60">
        <v>68</v>
      </c>
      <c r="B118" s="3" t="s">
        <v>51</v>
      </c>
      <c r="C118" s="3" t="s">
        <v>296</v>
      </c>
      <c r="D118" s="5" t="s">
        <v>297</v>
      </c>
      <c r="E118" s="3" t="s">
        <v>83</v>
      </c>
      <c r="F118" s="3" t="s">
        <v>683</v>
      </c>
      <c r="G118" s="38">
        <f>'Stavební rozpočet'!G112</f>
        <v>2.3199999999999998</v>
      </c>
      <c r="H118" s="38">
        <f>'Stavební rozpočet'!H112</f>
        <v>0</v>
      </c>
      <c r="I118" s="38">
        <f>IR118*G118</f>
        <v>0</v>
      </c>
      <c r="J118" s="38">
        <f>IS118*G118</f>
        <v>0</v>
      </c>
      <c r="K118" s="38">
        <f>IR118*G118+IS118*G118</f>
        <v>0</v>
      </c>
      <c r="L118" s="38">
        <f>'Stavební rozpočet'!N112</f>
        <v>4.1999999999999997E-3</v>
      </c>
      <c r="M118" s="61">
        <f>L118*G118</f>
        <v>9.7439999999999992E-3</v>
      </c>
      <c r="HV118" s="3" t="s">
        <v>266</v>
      </c>
      <c r="HW118" s="3" t="s">
        <v>608</v>
      </c>
      <c r="IR118" s="62">
        <f>H118*0.270995763</f>
        <v>0</v>
      </c>
      <c r="IS118" s="62">
        <f>H118*(1-0.270995763)</f>
        <v>0</v>
      </c>
    </row>
    <row r="119" spans="1:253" ht="13.5" customHeight="1" x14ac:dyDescent="0.25">
      <c r="A119" s="41"/>
      <c r="D119" s="5" t="s">
        <v>298</v>
      </c>
      <c r="M119" s="63"/>
    </row>
    <row r="120" spans="1:253" x14ac:dyDescent="0.25">
      <c r="A120" s="144" t="s">
        <v>50</v>
      </c>
      <c r="B120" s="107"/>
      <c r="C120" s="107"/>
      <c r="D120" s="107"/>
      <c r="E120" s="107"/>
      <c r="F120" s="3" t="s">
        <v>684</v>
      </c>
      <c r="G120" s="38">
        <v>1.1599999999999999</v>
      </c>
      <c r="H120" s="38">
        <f>'Stavební rozpočet'!H112</f>
        <v>0</v>
      </c>
      <c r="M120" s="63"/>
      <c r="HV120" s="3" t="s">
        <v>266</v>
      </c>
      <c r="HW120" s="3" t="s">
        <v>608</v>
      </c>
      <c r="IR120" s="62">
        <f>H120*0.270995763</f>
        <v>0</v>
      </c>
      <c r="IS120" s="62">
        <f>H120*(1-0.270995763)</f>
        <v>0</v>
      </c>
    </row>
    <row r="121" spans="1:253" x14ac:dyDescent="0.25">
      <c r="A121" s="60">
        <v>69</v>
      </c>
      <c r="B121" s="3" t="s">
        <v>51</v>
      </c>
      <c r="C121" s="3" t="s">
        <v>301</v>
      </c>
      <c r="D121" s="5" t="s">
        <v>302</v>
      </c>
      <c r="E121" s="3" t="s">
        <v>108</v>
      </c>
      <c r="F121" s="3" t="s">
        <v>685</v>
      </c>
      <c r="G121" s="38">
        <f>'Stavební rozpočet'!G115</f>
        <v>33.799999999999997</v>
      </c>
      <c r="H121" s="38">
        <f>'Stavební rozpočet'!H115</f>
        <v>0</v>
      </c>
      <c r="I121" s="38">
        <f>IR121*G121</f>
        <v>0</v>
      </c>
      <c r="J121" s="38">
        <f>IS121*G121</f>
        <v>0</v>
      </c>
      <c r="K121" s="38">
        <f>IR121*G121+IS121*G121</f>
        <v>0</v>
      </c>
      <c r="L121" s="38">
        <f>'Stavební rozpočet'!N115</f>
        <v>1.7330000000000002E-2</v>
      </c>
      <c r="M121" s="61">
        <f>L121*G121</f>
        <v>0.585754</v>
      </c>
      <c r="HV121" s="3" t="s">
        <v>266</v>
      </c>
      <c r="HW121" s="3" t="s">
        <v>608</v>
      </c>
      <c r="IR121" s="62">
        <f>H121*0.420807389</f>
        <v>0</v>
      </c>
      <c r="IS121" s="62">
        <f>H121*(1-0.420807389)</f>
        <v>0</v>
      </c>
    </row>
    <row r="122" spans="1:253" ht="13.5" customHeight="1" x14ac:dyDescent="0.25">
      <c r="A122" s="41"/>
      <c r="D122" s="5" t="s">
        <v>303</v>
      </c>
      <c r="M122" s="63"/>
    </row>
    <row r="123" spans="1:253" x14ac:dyDescent="0.25">
      <c r="A123" s="144" t="s">
        <v>50</v>
      </c>
      <c r="B123" s="107"/>
      <c r="C123" s="107"/>
      <c r="D123" s="107"/>
      <c r="E123" s="107"/>
      <c r="F123" s="3" t="s">
        <v>686</v>
      </c>
      <c r="G123" s="38">
        <v>7.1</v>
      </c>
      <c r="H123" s="38">
        <f>'Stavební rozpočet'!H115</f>
        <v>0</v>
      </c>
      <c r="M123" s="63"/>
      <c r="HV123" s="3" t="s">
        <v>266</v>
      </c>
      <c r="HW123" s="3" t="s">
        <v>608</v>
      </c>
      <c r="IR123" s="62">
        <f>H123*0.420807389</f>
        <v>0</v>
      </c>
      <c r="IS123" s="62">
        <f>H123*(1-0.420807389)</f>
        <v>0</v>
      </c>
    </row>
    <row r="124" spans="1:253" x14ac:dyDescent="0.25">
      <c r="A124" s="60">
        <v>70</v>
      </c>
      <c r="B124" s="3" t="s">
        <v>51</v>
      </c>
      <c r="C124" s="3" t="s">
        <v>267</v>
      </c>
      <c r="D124" s="5" t="s">
        <v>268</v>
      </c>
      <c r="E124" s="3" t="s">
        <v>166</v>
      </c>
      <c r="F124" s="3" t="s">
        <v>50</v>
      </c>
      <c r="G124" s="38">
        <f>'Stavební rozpočet'!G117</f>
        <v>1.1181099999999999</v>
      </c>
      <c r="H124" s="38">
        <f>'Stavební rozpočet'!H117</f>
        <v>0</v>
      </c>
      <c r="I124" s="38">
        <f>IR124*G124</f>
        <v>0</v>
      </c>
      <c r="J124" s="38">
        <f>IS124*G124</f>
        <v>0</v>
      </c>
      <c r="K124" s="38">
        <f>IR124*G124+IS124*G124</f>
        <v>0</v>
      </c>
      <c r="L124" s="38">
        <f>'Stavební rozpočet'!N117</f>
        <v>0</v>
      </c>
      <c r="M124" s="61">
        <f>L124*G124</f>
        <v>0</v>
      </c>
      <c r="HV124" s="3" t="s">
        <v>266</v>
      </c>
      <c r="HW124" s="3" t="s">
        <v>608</v>
      </c>
      <c r="IR124" s="62">
        <f>H124*0</f>
        <v>0</v>
      </c>
      <c r="IS124" s="62">
        <f>H124*(1-0)</f>
        <v>0</v>
      </c>
    </row>
    <row r="125" spans="1:253" x14ac:dyDescent="0.25">
      <c r="A125" s="58" t="s">
        <v>4</v>
      </c>
      <c r="B125" s="34" t="s">
        <v>51</v>
      </c>
      <c r="C125" s="34" t="s">
        <v>276</v>
      </c>
      <c r="D125" s="35" t="s">
        <v>305</v>
      </c>
      <c r="E125" s="34" t="s">
        <v>4</v>
      </c>
      <c r="F125" s="34" t="s">
        <v>4</v>
      </c>
      <c r="G125" s="13" t="s">
        <v>4</v>
      </c>
      <c r="H125" s="13" t="s">
        <v>4</v>
      </c>
      <c r="I125" s="1">
        <f>SUM(I126:I128)</f>
        <v>0</v>
      </c>
      <c r="J125" s="1">
        <f>SUM(J126:J128)</f>
        <v>0</v>
      </c>
      <c r="K125" s="1">
        <f>SUM(K126:K128)</f>
        <v>0</v>
      </c>
      <c r="L125" s="13" t="s">
        <v>4</v>
      </c>
      <c r="M125" s="59">
        <f>SUM(M126:M128)</f>
        <v>1.2535718000000002</v>
      </c>
    </row>
    <row r="126" spans="1:253" x14ac:dyDescent="0.25">
      <c r="A126" s="60">
        <v>71</v>
      </c>
      <c r="B126" s="3" t="s">
        <v>51</v>
      </c>
      <c r="C126" s="3" t="s">
        <v>307</v>
      </c>
      <c r="D126" s="5" t="s">
        <v>308</v>
      </c>
      <c r="E126" s="3" t="s">
        <v>83</v>
      </c>
      <c r="F126" s="3" t="s">
        <v>687</v>
      </c>
      <c r="G126" s="38">
        <f>'Stavební rozpočet'!G119</f>
        <v>46.81</v>
      </c>
      <c r="H126" s="38">
        <f>'Stavební rozpočet'!H119</f>
        <v>0</v>
      </c>
      <c r="I126" s="38">
        <f>IR126*G126</f>
        <v>0</v>
      </c>
      <c r="J126" s="38">
        <f>IS126*G126</f>
        <v>0</v>
      </c>
      <c r="K126" s="38">
        <f>IR126*G126+IS126*G126</f>
        <v>0</v>
      </c>
      <c r="L126" s="38">
        <f>'Stavební rozpočet'!N119</f>
        <v>0</v>
      </c>
      <c r="M126" s="61">
        <f>L126*G126</f>
        <v>0</v>
      </c>
      <c r="HV126" s="3" t="s">
        <v>276</v>
      </c>
      <c r="HW126" s="3" t="s">
        <v>608</v>
      </c>
      <c r="IR126" s="62">
        <f>H126*0</f>
        <v>0</v>
      </c>
      <c r="IS126" s="62">
        <f>H126*(1-0)</f>
        <v>0</v>
      </c>
    </row>
    <row r="127" spans="1:253" x14ac:dyDescent="0.25">
      <c r="A127" s="60">
        <v>72</v>
      </c>
      <c r="B127" s="3" t="s">
        <v>51</v>
      </c>
      <c r="C127" s="3" t="s">
        <v>311</v>
      </c>
      <c r="D127" s="5" t="s">
        <v>312</v>
      </c>
      <c r="E127" s="3" t="s">
        <v>83</v>
      </c>
      <c r="F127" s="3" t="s">
        <v>687</v>
      </c>
      <c r="G127" s="38">
        <f>'Stavební rozpočet'!G120</f>
        <v>46.81</v>
      </c>
      <c r="H127" s="38">
        <f>'Stavební rozpočet'!H120</f>
        <v>0</v>
      </c>
      <c r="I127" s="38">
        <f>IR127*G127</f>
        <v>0</v>
      </c>
      <c r="J127" s="38">
        <f>IS127*G127</f>
        <v>0</v>
      </c>
      <c r="K127" s="38">
        <f>IR127*G127+IS127*G127</f>
        <v>0</v>
      </c>
      <c r="L127" s="38">
        <f>'Stavební rozpočet'!N120</f>
        <v>2.6780000000000002E-2</v>
      </c>
      <c r="M127" s="61">
        <f>L127*G127</f>
        <v>1.2535718000000002</v>
      </c>
      <c r="HV127" s="3" t="s">
        <v>276</v>
      </c>
      <c r="HW127" s="3" t="s">
        <v>608</v>
      </c>
      <c r="IR127" s="62">
        <f>H127*0.849974937</f>
        <v>0</v>
      </c>
      <c r="IS127" s="62">
        <f>H127*(1-0.849974937)</f>
        <v>0</v>
      </c>
    </row>
    <row r="128" spans="1:253" x14ac:dyDescent="0.25">
      <c r="A128" s="60">
        <v>73</v>
      </c>
      <c r="B128" s="3" t="s">
        <v>51</v>
      </c>
      <c r="C128" s="3" t="s">
        <v>267</v>
      </c>
      <c r="D128" s="5" t="s">
        <v>268</v>
      </c>
      <c r="E128" s="3" t="s">
        <v>166</v>
      </c>
      <c r="F128" s="3" t="s">
        <v>50</v>
      </c>
      <c r="G128" s="38">
        <f>'Stavební rozpočet'!G121</f>
        <v>1.2535700000000001</v>
      </c>
      <c r="H128" s="38">
        <f>'Stavební rozpočet'!H121</f>
        <v>0</v>
      </c>
      <c r="I128" s="38">
        <f>IR128*G128</f>
        <v>0</v>
      </c>
      <c r="J128" s="38">
        <f>IS128*G128</f>
        <v>0</v>
      </c>
      <c r="K128" s="38">
        <f>IR128*G128+IS128*G128</f>
        <v>0</v>
      </c>
      <c r="L128" s="38">
        <f>'Stavební rozpočet'!N121</f>
        <v>0</v>
      </c>
      <c r="M128" s="61">
        <f>L128*G128</f>
        <v>0</v>
      </c>
      <c r="HV128" s="3" t="s">
        <v>276</v>
      </c>
      <c r="HW128" s="3" t="s">
        <v>608</v>
      </c>
      <c r="IR128" s="62">
        <f>H128*0</f>
        <v>0</v>
      </c>
      <c r="IS128" s="62">
        <f>H128*(1-0)</f>
        <v>0</v>
      </c>
    </row>
    <row r="129" spans="1:253" x14ac:dyDescent="0.25">
      <c r="A129" s="58" t="s">
        <v>4</v>
      </c>
      <c r="B129" s="34" t="s">
        <v>51</v>
      </c>
      <c r="C129" s="34" t="s">
        <v>314</v>
      </c>
      <c r="D129" s="35" t="s">
        <v>315</v>
      </c>
      <c r="E129" s="34" t="s">
        <v>4</v>
      </c>
      <c r="F129" s="34" t="s">
        <v>4</v>
      </c>
      <c r="G129" s="13" t="s">
        <v>4</v>
      </c>
      <c r="H129" s="13" t="s">
        <v>4</v>
      </c>
      <c r="I129" s="1">
        <f>SUM(I130:I134)</f>
        <v>0</v>
      </c>
      <c r="J129" s="1">
        <f>SUM(J130:J134)</f>
        <v>0</v>
      </c>
      <c r="K129" s="1">
        <f>SUM(K130:K134)</f>
        <v>0</v>
      </c>
      <c r="L129" s="13" t="s">
        <v>4</v>
      </c>
      <c r="M129" s="59">
        <f>SUM(M130:M134)</f>
        <v>6.0532399999999993E-2</v>
      </c>
    </row>
    <row r="130" spans="1:253" x14ac:dyDescent="0.25">
      <c r="A130" s="60">
        <v>74</v>
      </c>
      <c r="B130" s="3" t="s">
        <v>51</v>
      </c>
      <c r="C130" s="3" t="s">
        <v>317</v>
      </c>
      <c r="D130" s="5" t="s">
        <v>318</v>
      </c>
      <c r="E130" s="3" t="s">
        <v>83</v>
      </c>
      <c r="F130" s="3" t="s">
        <v>688</v>
      </c>
      <c r="G130" s="38">
        <f>'Stavební rozpočet'!G123</f>
        <v>15.31</v>
      </c>
      <c r="H130" s="38">
        <f>'Stavební rozpočet'!H123</f>
        <v>0</v>
      </c>
      <c r="I130" s="38">
        <f>IR130*G130</f>
        <v>0</v>
      </c>
      <c r="J130" s="38">
        <f>IS130*G130</f>
        <v>0</v>
      </c>
      <c r="K130" s="38">
        <f>IR130*G130+IS130*G130</f>
        <v>0</v>
      </c>
      <c r="L130" s="38">
        <f>'Stavební rozpočet'!N123</f>
        <v>2.2000000000000001E-4</v>
      </c>
      <c r="M130" s="61">
        <f>L130*G130</f>
        <v>3.3682E-3</v>
      </c>
      <c r="HV130" s="3" t="s">
        <v>314</v>
      </c>
      <c r="HW130" s="3" t="s">
        <v>608</v>
      </c>
      <c r="IR130" s="62">
        <f>H130*0.424635518</f>
        <v>0</v>
      </c>
      <c r="IS130" s="62">
        <f>H130*(1-0.424635518)</f>
        <v>0</v>
      </c>
    </row>
    <row r="131" spans="1:253" ht="13.5" customHeight="1" x14ac:dyDescent="0.25">
      <c r="A131" s="41"/>
      <c r="D131" s="5" t="s">
        <v>321</v>
      </c>
      <c r="M131" s="63"/>
    </row>
    <row r="132" spans="1:253" x14ac:dyDescent="0.25">
      <c r="A132" s="60">
        <v>75</v>
      </c>
      <c r="B132" s="3" t="s">
        <v>51</v>
      </c>
      <c r="C132" s="3" t="s">
        <v>323</v>
      </c>
      <c r="D132" s="5" t="s">
        <v>324</v>
      </c>
      <c r="E132" s="3" t="s">
        <v>83</v>
      </c>
      <c r="F132" s="3" t="s">
        <v>689</v>
      </c>
      <c r="G132" s="38">
        <f>'Stavební rozpočet'!G125</f>
        <v>16.812999999999999</v>
      </c>
      <c r="H132" s="38">
        <f>'Stavební rozpočet'!H125</f>
        <v>0</v>
      </c>
      <c r="I132" s="38">
        <f>IR132*G132</f>
        <v>0</v>
      </c>
      <c r="J132" s="38">
        <f>IS132*G132</f>
        <v>0</v>
      </c>
      <c r="K132" s="38">
        <f>IR132*G132+IS132*G132</f>
        <v>0</v>
      </c>
      <c r="L132" s="38">
        <f>'Stavební rozpočet'!N125</f>
        <v>3.3999999999999998E-3</v>
      </c>
      <c r="M132" s="61">
        <f>L132*G132</f>
        <v>5.7164199999999991E-2</v>
      </c>
      <c r="HV132" s="3" t="s">
        <v>314</v>
      </c>
      <c r="HW132" s="3" t="s">
        <v>608</v>
      </c>
      <c r="IR132" s="62">
        <f>H132*0.637914201</f>
        <v>0</v>
      </c>
      <c r="IS132" s="62">
        <f>H132*(1-0.637914201)</f>
        <v>0</v>
      </c>
    </row>
    <row r="133" spans="1:253" ht="13.5" customHeight="1" x14ac:dyDescent="0.25">
      <c r="A133" s="41"/>
      <c r="D133" s="5" t="s">
        <v>325</v>
      </c>
      <c r="M133" s="63"/>
    </row>
    <row r="134" spans="1:253" x14ac:dyDescent="0.25">
      <c r="A134" s="60">
        <v>76</v>
      </c>
      <c r="B134" s="3" t="s">
        <v>51</v>
      </c>
      <c r="C134" s="3" t="s">
        <v>327</v>
      </c>
      <c r="D134" s="5" t="s">
        <v>328</v>
      </c>
      <c r="E134" s="3" t="s">
        <v>166</v>
      </c>
      <c r="F134" s="3" t="s">
        <v>50</v>
      </c>
      <c r="G134" s="38">
        <f>'Stavební rozpočet'!G127</f>
        <v>6.053E-2</v>
      </c>
      <c r="H134" s="38">
        <f>'Stavební rozpočet'!H127</f>
        <v>0</v>
      </c>
      <c r="I134" s="38">
        <f>IR134*G134</f>
        <v>0</v>
      </c>
      <c r="J134" s="38">
        <f>IS134*G134</f>
        <v>0</v>
      </c>
      <c r="K134" s="38">
        <f>IR134*G134+IS134*G134</f>
        <v>0</v>
      </c>
      <c r="L134" s="38">
        <f>'Stavební rozpočet'!N127</f>
        <v>0</v>
      </c>
      <c r="M134" s="61">
        <f>L134*G134</f>
        <v>0</v>
      </c>
      <c r="HV134" s="3" t="s">
        <v>314</v>
      </c>
      <c r="HW134" s="3" t="s">
        <v>608</v>
      </c>
      <c r="IR134" s="62">
        <f>H134*0</f>
        <v>0</v>
      </c>
      <c r="IS134" s="62">
        <f>H134*(1-0)</f>
        <v>0</v>
      </c>
    </row>
    <row r="135" spans="1:253" x14ac:dyDescent="0.25">
      <c r="A135" s="58" t="s">
        <v>4</v>
      </c>
      <c r="B135" s="34" t="s">
        <v>51</v>
      </c>
      <c r="C135" s="34" t="s">
        <v>329</v>
      </c>
      <c r="D135" s="35" t="s">
        <v>330</v>
      </c>
      <c r="E135" s="34" t="s">
        <v>4</v>
      </c>
      <c r="F135" s="34" t="s">
        <v>4</v>
      </c>
      <c r="G135" s="13" t="s">
        <v>4</v>
      </c>
      <c r="H135" s="13" t="s">
        <v>4</v>
      </c>
      <c r="I135" s="1">
        <f>SUM(I136:I137)</f>
        <v>0</v>
      </c>
      <c r="J135" s="1">
        <f>SUM(J136:J137)</f>
        <v>0</v>
      </c>
      <c r="K135" s="1">
        <f>SUM(K136:K137)</f>
        <v>0</v>
      </c>
      <c r="L135" s="13" t="s">
        <v>4</v>
      </c>
      <c r="M135" s="59">
        <f>SUM(M136:M137)</f>
        <v>4.0800000000000003E-3</v>
      </c>
    </row>
    <row r="136" spans="1:253" ht="25.5" x14ac:dyDescent="0.25">
      <c r="A136" s="60">
        <v>77</v>
      </c>
      <c r="B136" s="3" t="s">
        <v>51</v>
      </c>
      <c r="C136" s="3" t="s">
        <v>332</v>
      </c>
      <c r="D136" s="5" t="s">
        <v>333</v>
      </c>
      <c r="E136" s="3" t="s">
        <v>58</v>
      </c>
      <c r="F136" s="3" t="s">
        <v>690</v>
      </c>
      <c r="G136" s="38">
        <f>'Stavební rozpočet'!G129</f>
        <v>6</v>
      </c>
      <c r="H136" s="38">
        <f>'Stavební rozpočet'!H129</f>
        <v>0</v>
      </c>
      <c r="I136" s="38">
        <f>IR136*G136</f>
        <v>0</v>
      </c>
      <c r="J136" s="38">
        <f>IS136*G136</f>
        <v>0</v>
      </c>
      <c r="K136" s="38">
        <f>IR136*G136+IS136*G136</f>
        <v>0</v>
      </c>
      <c r="L136" s="38">
        <f>'Stavební rozpočet'!N129</f>
        <v>6.8000000000000005E-4</v>
      </c>
      <c r="M136" s="61">
        <f>L136*G136</f>
        <v>4.0800000000000003E-3</v>
      </c>
      <c r="HV136" s="3" t="s">
        <v>329</v>
      </c>
      <c r="HW136" s="3" t="s">
        <v>608</v>
      </c>
      <c r="IR136" s="62">
        <f>H136*0.166945675</f>
        <v>0</v>
      </c>
      <c r="IS136" s="62">
        <f>H136*(1-0.166945675)</f>
        <v>0</v>
      </c>
    </row>
    <row r="137" spans="1:253" x14ac:dyDescent="0.25">
      <c r="A137" s="144" t="s">
        <v>50</v>
      </c>
      <c r="B137" s="107"/>
      <c r="C137" s="107"/>
      <c r="D137" s="107"/>
      <c r="E137" s="107"/>
      <c r="F137" s="3" t="s">
        <v>691</v>
      </c>
      <c r="G137" s="38">
        <v>2</v>
      </c>
      <c r="H137" s="38">
        <f>'Stavební rozpočet'!H129</f>
        <v>0</v>
      </c>
      <c r="M137" s="63"/>
      <c r="HV137" s="3" t="s">
        <v>329</v>
      </c>
      <c r="HW137" s="3" t="s">
        <v>608</v>
      </c>
      <c r="IR137" s="62">
        <f>H137*0.166945675</f>
        <v>0</v>
      </c>
      <c r="IS137" s="62">
        <f>H137*(1-0.166945675)</f>
        <v>0</v>
      </c>
    </row>
    <row r="138" spans="1:253" x14ac:dyDescent="0.25">
      <c r="A138" s="58" t="s">
        <v>4</v>
      </c>
      <c r="B138" s="34" t="s">
        <v>51</v>
      </c>
      <c r="C138" s="34" t="s">
        <v>336</v>
      </c>
      <c r="D138" s="35" t="s">
        <v>337</v>
      </c>
      <c r="E138" s="34" t="s">
        <v>4</v>
      </c>
      <c r="F138" s="34" t="s">
        <v>4</v>
      </c>
      <c r="G138" s="13" t="s">
        <v>4</v>
      </c>
      <c r="H138" s="13" t="s">
        <v>4</v>
      </c>
      <c r="I138" s="1">
        <f>SUM(I139:I155)</f>
        <v>0</v>
      </c>
      <c r="J138" s="1">
        <f>SUM(J139:J155)</f>
        <v>0</v>
      </c>
      <c r="K138" s="1">
        <f>SUM(K139:K155)</f>
        <v>0</v>
      </c>
      <c r="L138" s="13" t="s">
        <v>4</v>
      </c>
      <c r="M138" s="59">
        <f>SUM(M139:M155)</f>
        <v>4.4194999999999998E-2</v>
      </c>
    </row>
    <row r="139" spans="1:253" x14ac:dyDescent="0.25">
      <c r="A139" s="60">
        <v>78</v>
      </c>
      <c r="B139" s="3" t="s">
        <v>51</v>
      </c>
      <c r="C139" s="3" t="s">
        <v>339</v>
      </c>
      <c r="D139" s="5" t="s">
        <v>340</v>
      </c>
      <c r="E139" s="3" t="s">
        <v>108</v>
      </c>
      <c r="F139" s="3" t="s">
        <v>64</v>
      </c>
      <c r="G139" s="38">
        <f>'Stavební rozpočet'!G132</f>
        <v>2</v>
      </c>
      <c r="H139" s="38">
        <f>'Stavební rozpočet'!H132</f>
        <v>0</v>
      </c>
      <c r="I139" s="38">
        <f t="shared" ref="I139:I144" si="20">IR139*G139</f>
        <v>0</v>
      </c>
      <c r="J139" s="38">
        <f t="shared" ref="J139:J144" si="21">IS139*G139</f>
        <v>0</v>
      </c>
      <c r="K139" s="38">
        <f t="shared" ref="K139:K144" si="22">IR139*G139+IS139*G139</f>
        <v>0</v>
      </c>
      <c r="L139" s="38">
        <f>'Stavební rozpočet'!N132</f>
        <v>7.7999999999999999E-4</v>
      </c>
      <c r="M139" s="61">
        <f t="shared" ref="M139:M144" si="23">L139*G139</f>
        <v>1.56E-3</v>
      </c>
      <c r="HV139" s="3" t="s">
        <v>336</v>
      </c>
      <c r="HW139" s="3" t="s">
        <v>608</v>
      </c>
      <c r="IR139" s="62">
        <f>H139*0.29672973</f>
        <v>0</v>
      </c>
      <c r="IS139" s="62">
        <f>H139*(1-0.29672973)</f>
        <v>0</v>
      </c>
    </row>
    <row r="140" spans="1:253" x14ac:dyDescent="0.25">
      <c r="A140" s="60">
        <v>79</v>
      </c>
      <c r="B140" s="3" t="s">
        <v>51</v>
      </c>
      <c r="C140" s="3" t="s">
        <v>344</v>
      </c>
      <c r="D140" s="5" t="s">
        <v>345</v>
      </c>
      <c r="E140" s="3" t="s">
        <v>108</v>
      </c>
      <c r="F140" s="3" t="s">
        <v>73</v>
      </c>
      <c r="G140" s="38">
        <f>'Stavební rozpočet'!G133</f>
        <v>4</v>
      </c>
      <c r="H140" s="38">
        <f>'Stavební rozpočet'!H133</f>
        <v>0</v>
      </c>
      <c r="I140" s="38">
        <f t="shared" si="20"/>
        <v>0</v>
      </c>
      <c r="J140" s="38">
        <f t="shared" si="21"/>
        <v>0</v>
      </c>
      <c r="K140" s="38">
        <f t="shared" si="22"/>
        <v>0</v>
      </c>
      <c r="L140" s="38">
        <f>'Stavební rozpočet'!N133</f>
        <v>4.6999999999999999E-4</v>
      </c>
      <c r="M140" s="61">
        <f t="shared" si="23"/>
        <v>1.8799999999999999E-3</v>
      </c>
      <c r="HV140" s="3" t="s">
        <v>336</v>
      </c>
      <c r="HW140" s="3" t="s">
        <v>608</v>
      </c>
      <c r="IR140" s="62">
        <f>H140*0.288317757</f>
        <v>0</v>
      </c>
      <c r="IS140" s="62">
        <f>H140*(1-0.288317757)</f>
        <v>0</v>
      </c>
    </row>
    <row r="141" spans="1:253" x14ac:dyDescent="0.25">
      <c r="A141" s="60">
        <v>80</v>
      </c>
      <c r="B141" s="3" t="s">
        <v>51</v>
      </c>
      <c r="C141" s="3" t="s">
        <v>347</v>
      </c>
      <c r="D141" s="5" t="s">
        <v>348</v>
      </c>
      <c r="E141" s="3" t="s">
        <v>108</v>
      </c>
      <c r="F141" s="3" t="s">
        <v>87</v>
      </c>
      <c r="G141" s="38">
        <f>'Stavební rozpočet'!G134</f>
        <v>7</v>
      </c>
      <c r="H141" s="38">
        <f>'Stavební rozpočet'!H134</f>
        <v>0</v>
      </c>
      <c r="I141" s="38">
        <f t="shared" si="20"/>
        <v>0</v>
      </c>
      <c r="J141" s="38">
        <f t="shared" si="21"/>
        <v>0</v>
      </c>
      <c r="K141" s="38">
        <f t="shared" si="22"/>
        <v>0</v>
      </c>
      <c r="L141" s="38">
        <f>'Stavební rozpočet'!N134</f>
        <v>3.8000000000000002E-4</v>
      </c>
      <c r="M141" s="61">
        <f t="shared" si="23"/>
        <v>2.66E-3</v>
      </c>
      <c r="HV141" s="3" t="s">
        <v>336</v>
      </c>
      <c r="HW141" s="3" t="s">
        <v>608</v>
      </c>
      <c r="IR141" s="62">
        <f>H141*0.278442478</f>
        <v>0</v>
      </c>
      <c r="IS141" s="62">
        <f>H141*(1-0.278442478)</f>
        <v>0</v>
      </c>
    </row>
    <row r="142" spans="1:253" x14ac:dyDescent="0.25">
      <c r="A142" s="60">
        <v>81</v>
      </c>
      <c r="B142" s="3" t="s">
        <v>51</v>
      </c>
      <c r="C142" s="3" t="s">
        <v>350</v>
      </c>
      <c r="D142" s="5" t="s">
        <v>351</v>
      </c>
      <c r="E142" s="3" t="s">
        <v>108</v>
      </c>
      <c r="F142" s="3" t="s">
        <v>73</v>
      </c>
      <c r="G142" s="38">
        <f>'Stavební rozpočet'!G135</f>
        <v>4</v>
      </c>
      <c r="H142" s="38">
        <f>'Stavební rozpočet'!H135</f>
        <v>0</v>
      </c>
      <c r="I142" s="38">
        <f t="shared" si="20"/>
        <v>0</v>
      </c>
      <c r="J142" s="38">
        <f t="shared" si="21"/>
        <v>0</v>
      </c>
      <c r="K142" s="38">
        <f t="shared" si="22"/>
        <v>0</v>
      </c>
      <c r="L142" s="38">
        <f>'Stavební rozpočet'!N135</f>
        <v>1.5200000000000001E-3</v>
      </c>
      <c r="M142" s="61">
        <f t="shared" si="23"/>
        <v>6.0800000000000003E-3</v>
      </c>
      <c r="HV142" s="3" t="s">
        <v>336</v>
      </c>
      <c r="HW142" s="3" t="s">
        <v>608</v>
      </c>
      <c r="IR142" s="62">
        <f>H142*0.262895257</f>
        <v>0</v>
      </c>
      <c r="IS142" s="62">
        <f>H142*(1-0.262895257)</f>
        <v>0</v>
      </c>
    </row>
    <row r="143" spans="1:253" x14ac:dyDescent="0.25">
      <c r="A143" s="60">
        <v>82</v>
      </c>
      <c r="B143" s="3" t="s">
        <v>51</v>
      </c>
      <c r="C143" s="3" t="s">
        <v>353</v>
      </c>
      <c r="D143" s="5" t="s">
        <v>354</v>
      </c>
      <c r="E143" s="3" t="s">
        <v>108</v>
      </c>
      <c r="F143" s="3" t="s">
        <v>692</v>
      </c>
      <c r="G143" s="38">
        <f>'Stavební rozpočet'!G136</f>
        <v>1.5</v>
      </c>
      <c r="H143" s="38">
        <f>'Stavební rozpočet'!H136</f>
        <v>0</v>
      </c>
      <c r="I143" s="38">
        <f t="shared" si="20"/>
        <v>0</v>
      </c>
      <c r="J143" s="38">
        <f t="shared" si="21"/>
        <v>0</v>
      </c>
      <c r="K143" s="38">
        <f t="shared" si="22"/>
        <v>0</v>
      </c>
      <c r="L143" s="38">
        <f>'Stavební rozpočet'!N136</f>
        <v>3.9699999999999996E-3</v>
      </c>
      <c r="M143" s="61">
        <f t="shared" si="23"/>
        <v>5.9549999999999994E-3</v>
      </c>
      <c r="HV143" s="3" t="s">
        <v>336</v>
      </c>
      <c r="HW143" s="3" t="s">
        <v>608</v>
      </c>
      <c r="IR143" s="62">
        <f>H143*0.727755474</f>
        <v>0</v>
      </c>
      <c r="IS143" s="62">
        <f>H143*(1-0.727755474)</f>
        <v>0</v>
      </c>
    </row>
    <row r="144" spans="1:253" x14ac:dyDescent="0.25">
      <c r="A144" s="60">
        <v>83</v>
      </c>
      <c r="B144" s="3" t="s">
        <v>51</v>
      </c>
      <c r="C144" s="3" t="s">
        <v>357</v>
      </c>
      <c r="D144" s="5" t="s">
        <v>358</v>
      </c>
      <c r="E144" s="3" t="s">
        <v>140</v>
      </c>
      <c r="F144" s="3" t="s">
        <v>693</v>
      </c>
      <c r="G144" s="38">
        <f>'Stavební rozpočet'!G138</f>
        <v>1</v>
      </c>
      <c r="H144" s="38">
        <f>'Stavební rozpočet'!H138</f>
        <v>0</v>
      </c>
      <c r="I144" s="38">
        <f t="shared" si="20"/>
        <v>0</v>
      </c>
      <c r="J144" s="38">
        <f t="shared" si="21"/>
        <v>0</v>
      </c>
      <c r="K144" s="38">
        <f t="shared" si="22"/>
        <v>0</v>
      </c>
      <c r="L144" s="38">
        <f>'Stavební rozpočet'!N138</f>
        <v>6.2E-4</v>
      </c>
      <c r="M144" s="61">
        <f t="shared" si="23"/>
        <v>6.2E-4</v>
      </c>
      <c r="HV144" s="3" t="s">
        <v>336</v>
      </c>
      <c r="HW144" s="3" t="s">
        <v>608</v>
      </c>
      <c r="IR144" s="62">
        <f>H144*0.318423333</f>
        <v>0</v>
      </c>
      <c r="IS144" s="62">
        <f>H144*(1-0.318423333)</f>
        <v>0</v>
      </c>
    </row>
    <row r="145" spans="1:253" ht="13.5" customHeight="1" x14ac:dyDescent="0.25">
      <c r="A145" s="41"/>
      <c r="D145" s="5" t="s">
        <v>359</v>
      </c>
      <c r="M145" s="63"/>
    </row>
    <row r="146" spans="1:253" x14ac:dyDescent="0.25">
      <c r="A146" s="60">
        <v>84</v>
      </c>
      <c r="B146" s="3" t="s">
        <v>51</v>
      </c>
      <c r="C146" s="3" t="s">
        <v>361</v>
      </c>
      <c r="D146" s="5" t="s">
        <v>362</v>
      </c>
      <c r="E146" s="3" t="s">
        <v>58</v>
      </c>
      <c r="F146" s="3" t="s">
        <v>694</v>
      </c>
      <c r="G146" s="38">
        <f>'Stavební rozpočet'!G140</f>
        <v>8</v>
      </c>
      <c r="H146" s="38">
        <f>'Stavební rozpočet'!H140</f>
        <v>0</v>
      </c>
      <c r="I146" s="38">
        <f>IR146*G146</f>
        <v>0</v>
      </c>
      <c r="J146" s="38">
        <f>IS146*G146</f>
        <v>0</v>
      </c>
      <c r="K146" s="38">
        <f>IR146*G146+IS146*G146</f>
        <v>0</v>
      </c>
      <c r="L146" s="38">
        <f>'Stavební rozpočet'!N140</f>
        <v>0</v>
      </c>
      <c r="M146" s="61">
        <f>L146*G146</f>
        <v>0</v>
      </c>
      <c r="HV146" s="3" t="s">
        <v>336</v>
      </c>
      <c r="HW146" s="3" t="s">
        <v>608</v>
      </c>
      <c r="IR146" s="62">
        <f>H146*0</f>
        <v>0</v>
      </c>
      <c r="IS146" s="62">
        <f>H146*(1-0)</f>
        <v>0</v>
      </c>
    </row>
    <row r="147" spans="1:253" x14ac:dyDescent="0.25">
      <c r="A147" s="60">
        <v>85</v>
      </c>
      <c r="B147" s="3" t="s">
        <v>51</v>
      </c>
      <c r="C147" s="3" t="s">
        <v>364</v>
      </c>
      <c r="D147" s="5" t="s">
        <v>365</v>
      </c>
      <c r="E147" s="3" t="s">
        <v>58</v>
      </c>
      <c r="F147" s="3" t="s">
        <v>695</v>
      </c>
      <c r="G147" s="38">
        <f>'Stavební rozpočet'!G141</f>
        <v>5</v>
      </c>
      <c r="H147" s="38">
        <f>'Stavební rozpočet'!H141</f>
        <v>0</v>
      </c>
      <c r="I147" s="38">
        <f>IR147*G147</f>
        <v>0</v>
      </c>
      <c r="J147" s="38">
        <f>IS147*G147</f>
        <v>0</v>
      </c>
      <c r="K147" s="38">
        <f>IR147*G147+IS147*G147</f>
        <v>0</v>
      </c>
      <c r="L147" s="38">
        <f>'Stavební rozpočet'!N141</f>
        <v>0</v>
      </c>
      <c r="M147" s="61">
        <f>L147*G147</f>
        <v>0</v>
      </c>
      <c r="HV147" s="3" t="s">
        <v>336</v>
      </c>
      <c r="HW147" s="3" t="s">
        <v>608</v>
      </c>
      <c r="IR147" s="62">
        <f>H147*0</f>
        <v>0</v>
      </c>
      <c r="IS147" s="62">
        <f>H147*(1-0)</f>
        <v>0</v>
      </c>
    </row>
    <row r="148" spans="1:253" x14ac:dyDescent="0.25">
      <c r="A148" s="60">
        <v>86</v>
      </c>
      <c r="B148" s="3" t="s">
        <v>51</v>
      </c>
      <c r="C148" s="3" t="s">
        <v>367</v>
      </c>
      <c r="D148" s="5" t="s">
        <v>368</v>
      </c>
      <c r="E148" s="3" t="s">
        <v>58</v>
      </c>
      <c r="F148" s="3" t="s">
        <v>696</v>
      </c>
      <c r="G148" s="38">
        <f>'Stavební rozpočet'!G142</f>
        <v>10</v>
      </c>
      <c r="H148" s="38">
        <f>'Stavební rozpočet'!H142</f>
        <v>0</v>
      </c>
      <c r="I148" s="38">
        <f>IR148*G148</f>
        <v>0</v>
      </c>
      <c r="J148" s="38">
        <f>IS148*G148</f>
        <v>0</v>
      </c>
      <c r="K148" s="38">
        <f>IR148*G148+IS148*G148</f>
        <v>0</v>
      </c>
      <c r="L148" s="38">
        <f>'Stavební rozpočet'!N142</f>
        <v>0</v>
      </c>
      <c r="M148" s="61">
        <f>L148*G148</f>
        <v>0</v>
      </c>
      <c r="HV148" s="3" t="s">
        <v>336</v>
      </c>
      <c r="HW148" s="3" t="s">
        <v>608</v>
      </c>
      <c r="IR148" s="62">
        <f>H148*0</f>
        <v>0</v>
      </c>
      <c r="IS148" s="62">
        <f>H148*(1-0)</f>
        <v>0</v>
      </c>
    </row>
    <row r="149" spans="1:253" x14ac:dyDescent="0.25">
      <c r="A149" s="60">
        <v>87</v>
      </c>
      <c r="B149" s="3" t="s">
        <v>51</v>
      </c>
      <c r="C149" s="3" t="s">
        <v>370</v>
      </c>
      <c r="D149" s="5" t="s">
        <v>371</v>
      </c>
      <c r="E149" s="3" t="s">
        <v>58</v>
      </c>
      <c r="F149" s="3" t="s">
        <v>697</v>
      </c>
      <c r="G149" s="38">
        <f>'Stavební rozpočet'!G143</f>
        <v>1</v>
      </c>
      <c r="H149" s="38">
        <f>'Stavební rozpočet'!H143</f>
        <v>0</v>
      </c>
      <c r="I149" s="38">
        <f>IR149*G149</f>
        <v>0</v>
      </c>
      <c r="J149" s="38">
        <f>IS149*G149</f>
        <v>0</v>
      </c>
      <c r="K149" s="38">
        <f>IR149*G149+IS149*G149</f>
        <v>0</v>
      </c>
      <c r="L149" s="38">
        <f>'Stavební rozpočet'!N143</f>
        <v>8.1999999999999998E-4</v>
      </c>
      <c r="M149" s="61">
        <f>L149*G149</f>
        <v>8.1999999999999998E-4</v>
      </c>
      <c r="HV149" s="3" t="s">
        <v>336</v>
      </c>
      <c r="HW149" s="3" t="s">
        <v>608</v>
      </c>
      <c r="IR149" s="62">
        <f>H149*0.91545269</f>
        <v>0</v>
      </c>
      <c r="IS149" s="62">
        <f>H149*(1-0.91545269)</f>
        <v>0</v>
      </c>
    </row>
    <row r="150" spans="1:253" ht="13.5" customHeight="1" x14ac:dyDescent="0.25">
      <c r="A150" s="41"/>
      <c r="D150" s="5" t="s">
        <v>372</v>
      </c>
      <c r="M150" s="63"/>
    </row>
    <row r="151" spans="1:253" ht="25.5" x14ac:dyDescent="0.25">
      <c r="A151" s="60">
        <v>88</v>
      </c>
      <c r="B151" s="3" t="s">
        <v>51</v>
      </c>
      <c r="C151" s="3" t="s">
        <v>374</v>
      </c>
      <c r="D151" s="5" t="s">
        <v>375</v>
      </c>
      <c r="E151" s="3" t="s">
        <v>58</v>
      </c>
      <c r="F151" s="3" t="s">
        <v>698</v>
      </c>
      <c r="G151" s="38">
        <f>'Stavební rozpočet'!G145</f>
        <v>1</v>
      </c>
      <c r="H151" s="38">
        <f>'Stavební rozpočet'!H145</f>
        <v>0</v>
      </c>
      <c r="I151" s="38">
        <f>IR151*G151</f>
        <v>0</v>
      </c>
      <c r="J151" s="38">
        <f>IS151*G151</f>
        <v>0</v>
      </c>
      <c r="K151" s="38">
        <f>IR151*G151+IS151*G151</f>
        <v>0</v>
      </c>
      <c r="L151" s="38">
        <f>'Stavební rozpočet'!N145</f>
        <v>8.8999999999999999E-3</v>
      </c>
      <c r="M151" s="61">
        <f>L151*G151</f>
        <v>8.8999999999999999E-3</v>
      </c>
      <c r="HV151" s="3" t="s">
        <v>336</v>
      </c>
      <c r="HW151" s="3" t="s">
        <v>608</v>
      </c>
      <c r="IR151" s="62">
        <f>H151*0.44720408</f>
        <v>0</v>
      </c>
      <c r="IS151" s="62">
        <f>H151*(1-0.44720408)</f>
        <v>0</v>
      </c>
    </row>
    <row r="152" spans="1:253" ht="25.5" x14ac:dyDescent="0.25">
      <c r="A152" s="60">
        <v>89</v>
      </c>
      <c r="B152" s="3" t="s">
        <v>51</v>
      </c>
      <c r="C152" s="3" t="s">
        <v>377</v>
      </c>
      <c r="D152" s="5" t="s">
        <v>378</v>
      </c>
      <c r="E152" s="3" t="s">
        <v>58</v>
      </c>
      <c r="F152" s="3" t="s">
        <v>699</v>
      </c>
      <c r="G152" s="38">
        <f>'Stavební rozpočet'!G146</f>
        <v>1</v>
      </c>
      <c r="H152" s="38">
        <f>'Stavební rozpočet'!H146</f>
        <v>0</v>
      </c>
      <c r="I152" s="38">
        <f>IR152*G152</f>
        <v>0</v>
      </c>
      <c r="J152" s="38">
        <f>IS152*G152</f>
        <v>0</v>
      </c>
      <c r="K152" s="38">
        <f>IR152*G152+IS152*G152</f>
        <v>0</v>
      </c>
      <c r="L152" s="38">
        <f>'Stavební rozpočet'!N146</f>
        <v>7.3200000000000001E-3</v>
      </c>
      <c r="M152" s="61">
        <f>L152*G152</f>
        <v>7.3200000000000001E-3</v>
      </c>
      <c r="HV152" s="3" t="s">
        <v>336</v>
      </c>
      <c r="HW152" s="3" t="s">
        <v>608</v>
      </c>
      <c r="IR152" s="62">
        <f>H152*0.350289017</f>
        <v>0</v>
      </c>
      <c r="IS152" s="62">
        <f>H152*(1-0.350289017)</f>
        <v>0</v>
      </c>
    </row>
    <row r="153" spans="1:253" x14ac:dyDescent="0.25">
      <c r="A153" s="60">
        <v>90</v>
      </c>
      <c r="B153" s="3" t="s">
        <v>51</v>
      </c>
      <c r="C153" s="3" t="s">
        <v>380</v>
      </c>
      <c r="D153" s="5" t="s">
        <v>381</v>
      </c>
      <c r="E153" s="3" t="s">
        <v>108</v>
      </c>
      <c r="F153" s="3" t="s">
        <v>73</v>
      </c>
      <c r="G153" s="38">
        <f>'Stavební rozpočet'!G147</f>
        <v>4</v>
      </c>
      <c r="H153" s="38">
        <f>'Stavební rozpočet'!H147</f>
        <v>0</v>
      </c>
      <c r="I153" s="38">
        <f>IR153*G153</f>
        <v>0</v>
      </c>
      <c r="J153" s="38">
        <f>IS153*G153</f>
        <v>0</v>
      </c>
      <c r="K153" s="38">
        <f>IR153*G153+IS153*G153</f>
        <v>0</v>
      </c>
      <c r="L153" s="38">
        <f>'Stavební rozpočet'!N147</f>
        <v>2.0999999999999999E-3</v>
      </c>
      <c r="M153" s="61">
        <f>L153*G153</f>
        <v>8.3999999999999995E-3</v>
      </c>
      <c r="HV153" s="3" t="s">
        <v>336</v>
      </c>
      <c r="HW153" s="3" t="s">
        <v>608</v>
      </c>
      <c r="IR153" s="62">
        <f>H153*0</f>
        <v>0</v>
      </c>
      <c r="IS153" s="62">
        <f>H153*(1-0)</f>
        <v>0</v>
      </c>
    </row>
    <row r="154" spans="1:253" x14ac:dyDescent="0.25">
      <c r="A154" s="60">
        <v>91</v>
      </c>
      <c r="B154" s="3" t="s">
        <v>51</v>
      </c>
      <c r="C154" s="3" t="s">
        <v>383</v>
      </c>
      <c r="D154" s="5" t="s">
        <v>384</v>
      </c>
      <c r="E154" s="3" t="s">
        <v>108</v>
      </c>
      <c r="F154" s="3" t="s">
        <v>132</v>
      </c>
      <c r="G154" s="38">
        <f>'Stavební rozpočet'!G148</f>
        <v>20</v>
      </c>
      <c r="H154" s="38">
        <f>'Stavební rozpočet'!H148</f>
        <v>0</v>
      </c>
      <c r="I154" s="38">
        <f>IR154*G154</f>
        <v>0</v>
      </c>
      <c r="J154" s="38">
        <f>IS154*G154</f>
        <v>0</v>
      </c>
      <c r="K154" s="38">
        <f>IR154*G154+IS154*G154</f>
        <v>0</v>
      </c>
      <c r="L154" s="38">
        <f>'Stavební rozpočet'!N148</f>
        <v>0</v>
      </c>
      <c r="M154" s="61">
        <f>L154*G154</f>
        <v>0</v>
      </c>
      <c r="HV154" s="3" t="s">
        <v>336</v>
      </c>
      <c r="HW154" s="3" t="s">
        <v>608</v>
      </c>
      <c r="IR154" s="62">
        <f>H154*0.028888889</f>
        <v>0</v>
      </c>
      <c r="IS154" s="62">
        <f>H154*(1-0.028888889)</f>
        <v>0</v>
      </c>
    </row>
    <row r="155" spans="1:253" x14ac:dyDescent="0.25">
      <c r="A155" s="60">
        <v>92</v>
      </c>
      <c r="B155" s="3" t="s">
        <v>51</v>
      </c>
      <c r="C155" s="3" t="s">
        <v>387</v>
      </c>
      <c r="D155" s="5" t="s">
        <v>388</v>
      </c>
      <c r="E155" s="3" t="s">
        <v>166</v>
      </c>
      <c r="F155" s="3" t="s">
        <v>50</v>
      </c>
      <c r="G155" s="38">
        <f>'Stavební rozpočet'!G150</f>
        <v>4.419E-2</v>
      </c>
      <c r="H155" s="38">
        <f>'Stavební rozpočet'!H150</f>
        <v>0</v>
      </c>
      <c r="I155" s="38">
        <f>IR155*G155</f>
        <v>0</v>
      </c>
      <c r="J155" s="38">
        <f>IS155*G155</f>
        <v>0</v>
      </c>
      <c r="K155" s="38">
        <f>IR155*G155+IS155*G155</f>
        <v>0</v>
      </c>
      <c r="L155" s="38">
        <f>'Stavební rozpočet'!N150</f>
        <v>0</v>
      </c>
      <c r="M155" s="61">
        <f>L155*G155</f>
        <v>0</v>
      </c>
      <c r="HV155" s="3" t="s">
        <v>336</v>
      </c>
      <c r="HW155" s="3" t="s">
        <v>608</v>
      </c>
      <c r="IR155" s="62">
        <f>H155*0</f>
        <v>0</v>
      </c>
      <c r="IS155" s="62">
        <f>H155*(1-0)</f>
        <v>0</v>
      </c>
    </row>
    <row r="156" spans="1:253" x14ac:dyDescent="0.25">
      <c r="A156" s="58" t="s">
        <v>4</v>
      </c>
      <c r="B156" s="34" t="s">
        <v>51</v>
      </c>
      <c r="C156" s="34" t="s">
        <v>389</v>
      </c>
      <c r="D156" s="35" t="s">
        <v>390</v>
      </c>
      <c r="E156" s="34" t="s">
        <v>4</v>
      </c>
      <c r="F156" s="34" t="s">
        <v>4</v>
      </c>
      <c r="G156" s="13" t="s">
        <v>4</v>
      </c>
      <c r="H156" s="13" t="s">
        <v>4</v>
      </c>
      <c r="I156" s="1">
        <f>SUM(I157:I174)</f>
        <v>0</v>
      </c>
      <c r="J156" s="1">
        <f>SUM(J157:J174)</f>
        <v>0</v>
      </c>
      <c r="K156" s="1">
        <f>SUM(K157:K174)</f>
        <v>0</v>
      </c>
      <c r="L156" s="13" t="s">
        <v>4</v>
      </c>
      <c r="M156" s="59">
        <f>SUM(M157:M174)</f>
        <v>0.22066999999999998</v>
      </c>
    </row>
    <row r="157" spans="1:253" x14ac:dyDescent="0.25">
      <c r="A157" s="60">
        <v>93</v>
      </c>
      <c r="B157" s="3" t="s">
        <v>51</v>
      </c>
      <c r="C157" s="3" t="s">
        <v>392</v>
      </c>
      <c r="D157" s="5" t="s">
        <v>393</v>
      </c>
      <c r="E157" s="3" t="s">
        <v>58</v>
      </c>
      <c r="F157" s="3" t="s">
        <v>700</v>
      </c>
      <c r="G157" s="38">
        <f>'Stavební rozpočet'!G152</f>
        <v>2</v>
      </c>
      <c r="H157" s="38">
        <f>'Stavební rozpočet'!H152</f>
        <v>0</v>
      </c>
      <c r="I157" s="38">
        <f>IR157*G157</f>
        <v>0</v>
      </c>
      <c r="J157" s="38">
        <f>IS157*G157</f>
        <v>0</v>
      </c>
      <c r="K157" s="38">
        <f>IR157*G157+IS157*G157</f>
        <v>0</v>
      </c>
      <c r="L157" s="38">
        <f>'Stavební rozpočet'!N152</f>
        <v>1.1E-4</v>
      </c>
      <c r="M157" s="61">
        <f>L157*G157</f>
        <v>2.2000000000000001E-4</v>
      </c>
      <c r="HV157" s="3" t="s">
        <v>389</v>
      </c>
      <c r="HW157" s="3" t="s">
        <v>608</v>
      </c>
      <c r="IR157" s="62">
        <f>H157*0.414039939</f>
        <v>0</v>
      </c>
      <c r="IS157" s="62">
        <f>H157*(1-0.414039939)</f>
        <v>0</v>
      </c>
    </row>
    <row r="158" spans="1:253" x14ac:dyDescent="0.25">
      <c r="A158" s="60">
        <v>94</v>
      </c>
      <c r="B158" s="3" t="s">
        <v>51</v>
      </c>
      <c r="C158" s="3" t="s">
        <v>396</v>
      </c>
      <c r="D158" s="5" t="s">
        <v>397</v>
      </c>
      <c r="E158" s="3" t="s">
        <v>58</v>
      </c>
      <c r="F158" s="3" t="s">
        <v>701</v>
      </c>
      <c r="G158" s="38">
        <f>'Stavební rozpočet'!G153</f>
        <v>1</v>
      </c>
      <c r="H158" s="38">
        <f>'Stavební rozpočet'!H153</f>
        <v>0</v>
      </c>
      <c r="I158" s="38">
        <f>IR158*G158</f>
        <v>0</v>
      </c>
      <c r="J158" s="38">
        <f>IS158*G158</f>
        <v>0</v>
      </c>
      <c r="K158" s="38">
        <f>IR158*G158+IS158*G158</f>
        <v>0</v>
      </c>
      <c r="L158" s="38">
        <f>'Stavební rozpočet'!N153</f>
        <v>1.4999999999999999E-4</v>
      </c>
      <c r="M158" s="61">
        <f>L158*G158</f>
        <v>1.4999999999999999E-4</v>
      </c>
      <c r="HV158" s="3" t="s">
        <v>389</v>
      </c>
      <c r="HW158" s="3" t="s">
        <v>608</v>
      </c>
      <c r="IR158" s="62">
        <f>H158*0.516195006</f>
        <v>0</v>
      </c>
      <c r="IS158" s="62">
        <f>H158*(1-0.516195006)</f>
        <v>0</v>
      </c>
    </row>
    <row r="159" spans="1:253" x14ac:dyDescent="0.25">
      <c r="A159" s="60">
        <v>95</v>
      </c>
      <c r="B159" s="3" t="s">
        <v>51</v>
      </c>
      <c r="C159" s="3" t="s">
        <v>399</v>
      </c>
      <c r="D159" s="5" t="s">
        <v>400</v>
      </c>
      <c r="E159" s="3" t="s">
        <v>108</v>
      </c>
      <c r="F159" s="3" t="s">
        <v>702</v>
      </c>
      <c r="G159" s="38">
        <f>'Stavební rozpočet'!G154</f>
        <v>10</v>
      </c>
      <c r="H159" s="38">
        <f>'Stavební rozpočet'!H154</f>
        <v>0</v>
      </c>
      <c r="I159" s="38">
        <f>IR159*G159</f>
        <v>0</v>
      </c>
      <c r="J159" s="38">
        <f>IS159*G159</f>
        <v>0</v>
      </c>
      <c r="K159" s="38">
        <f>IR159*G159+IS159*G159</f>
        <v>0</v>
      </c>
      <c r="L159" s="38">
        <f>'Stavební rozpočet'!N154</f>
        <v>5.1799999999999997E-3</v>
      </c>
      <c r="M159" s="61">
        <f>L159*G159</f>
        <v>5.1799999999999999E-2</v>
      </c>
      <c r="HV159" s="3" t="s">
        <v>389</v>
      </c>
      <c r="HW159" s="3" t="s">
        <v>608</v>
      </c>
      <c r="IR159" s="62">
        <f>H159*0.255282651</f>
        <v>0</v>
      </c>
      <c r="IS159" s="62">
        <f>H159*(1-0.255282651)</f>
        <v>0</v>
      </c>
    </row>
    <row r="160" spans="1:253" x14ac:dyDescent="0.25">
      <c r="A160" s="144" t="s">
        <v>50</v>
      </c>
      <c r="B160" s="107"/>
      <c r="C160" s="107"/>
      <c r="D160" s="107"/>
      <c r="E160" s="107"/>
      <c r="F160" s="3" t="s">
        <v>703</v>
      </c>
      <c r="G160" s="38">
        <v>5</v>
      </c>
      <c r="H160" s="38">
        <f>'Stavební rozpočet'!H154</f>
        <v>0</v>
      </c>
      <c r="M160" s="63"/>
      <c r="HV160" s="3" t="s">
        <v>389</v>
      </c>
      <c r="HW160" s="3" t="s">
        <v>608</v>
      </c>
      <c r="IR160" s="62">
        <f>H160*0.255282651</f>
        <v>0</v>
      </c>
      <c r="IS160" s="62">
        <f>H160*(1-0.255282651)</f>
        <v>0</v>
      </c>
    </row>
    <row r="161" spans="1:253" x14ac:dyDescent="0.25">
      <c r="A161" s="60">
        <v>96</v>
      </c>
      <c r="B161" s="3" t="s">
        <v>51</v>
      </c>
      <c r="C161" s="3" t="s">
        <v>401</v>
      </c>
      <c r="D161" s="5" t="s">
        <v>402</v>
      </c>
      <c r="E161" s="3" t="s">
        <v>108</v>
      </c>
      <c r="F161" s="3" t="s">
        <v>704</v>
      </c>
      <c r="G161" s="38">
        <f>'Stavební rozpočet'!G155</f>
        <v>31.4</v>
      </c>
      <c r="H161" s="38">
        <f>'Stavební rozpočet'!H155</f>
        <v>0</v>
      </c>
      <c r="I161" s="38">
        <f>IR161*G161</f>
        <v>0</v>
      </c>
      <c r="J161" s="38">
        <f>IS161*G161</f>
        <v>0</v>
      </c>
      <c r="K161" s="38">
        <f>IR161*G161+IS161*G161</f>
        <v>0</v>
      </c>
      <c r="L161" s="38">
        <f>'Stavební rozpočet'!N155</f>
        <v>3.9899999999999996E-3</v>
      </c>
      <c r="M161" s="61">
        <f>L161*G161</f>
        <v>0.12528599999999998</v>
      </c>
      <c r="HV161" s="3" t="s">
        <v>389</v>
      </c>
      <c r="HW161" s="3" t="s">
        <v>608</v>
      </c>
      <c r="IR161" s="62">
        <f>H161*0.226912114</f>
        <v>0</v>
      </c>
      <c r="IS161" s="62">
        <f>H161*(1-0.226912114)</f>
        <v>0</v>
      </c>
    </row>
    <row r="162" spans="1:253" x14ac:dyDescent="0.25">
      <c r="A162" s="144" t="s">
        <v>50</v>
      </c>
      <c r="B162" s="107"/>
      <c r="C162" s="107"/>
      <c r="D162" s="107"/>
      <c r="E162" s="107"/>
      <c r="F162" s="3" t="s">
        <v>705</v>
      </c>
      <c r="G162" s="38">
        <v>18.399999999999999</v>
      </c>
      <c r="H162" s="38">
        <f>'Stavební rozpočet'!H155</f>
        <v>0</v>
      </c>
      <c r="M162" s="63"/>
      <c r="HV162" s="3" t="s">
        <v>389</v>
      </c>
      <c r="HW162" s="3" t="s">
        <v>608</v>
      </c>
      <c r="IR162" s="62">
        <f>H162*0.226912114</f>
        <v>0</v>
      </c>
      <c r="IS162" s="62">
        <f>H162*(1-0.226912114)</f>
        <v>0</v>
      </c>
    </row>
    <row r="163" spans="1:253" x14ac:dyDescent="0.25">
      <c r="A163" s="144" t="s">
        <v>50</v>
      </c>
      <c r="B163" s="107"/>
      <c r="C163" s="107"/>
      <c r="D163" s="107"/>
      <c r="E163" s="107"/>
      <c r="F163" s="3" t="s">
        <v>706</v>
      </c>
      <c r="G163" s="38">
        <v>4</v>
      </c>
      <c r="H163" s="38">
        <f>'Stavební rozpočet'!H155</f>
        <v>0</v>
      </c>
      <c r="M163" s="63"/>
      <c r="HV163" s="3" t="s">
        <v>389</v>
      </c>
      <c r="HW163" s="3" t="s">
        <v>608</v>
      </c>
      <c r="IR163" s="62">
        <f>H163*0.226912114</f>
        <v>0</v>
      </c>
      <c r="IS163" s="62">
        <f>H163*(1-0.226912114)</f>
        <v>0</v>
      </c>
    </row>
    <row r="164" spans="1:253" x14ac:dyDescent="0.25">
      <c r="A164" s="60">
        <v>97</v>
      </c>
      <c r="B164" s="3" t="s">
        <v>51</v>
      </c>
      <c r="C164" s="3" t="s">
        <v>404</v>
      </c>
      <c r="D164" s="5" t="s">
        <v>405</v>
      </c>
      <c r="E164" s="3" t="s">
        <v>108</v>
      </c>
      <c r="F164" s="3" t="s">
        <v>707</v>
      </c>
      <c r="G164" s="38">
        <f>'Stavební rozpočet'!G156</f>
        <v>41</v>
      </c>
      <c r="H164" s="38">
        <f>'Stavební rozpočet'!H156</f>
        <v>0</v>
      </c>
      <c r="I164" s="38">
        <f>IR164*G164</f>
        <v>0</v>
      </c>
      <c r="J164" s="38">
        <f>IS164*G164</f>
        <v>0</v>
      </c>
      <c r="K164" s="38">
        <f>IR164*G164+IS164*G164</f>
        <v>0</v>
      </c>
      <c r="L164" s="38">
        <f>'Stavební rozpočet'!N156</f>
        <v>1.0000000000000001E-5</v>
      </c>
      <c r="M164" s="61">
        <f>L164*G164</f>
        <v>4.1000000000000005E-4</v>
      </c>
      <c r="HV164" s="3" t="s">
        <v>389</v>
      </c>
      <c r="HW164" s="3" t="s">
        <v>608</v>
      </c>
      <c r="IR164" s="62">
        <f>H164*0.155978086</f>
        <v>0</v>
      </c>
      <c r="IS164" s="62">
        <f>H164*(1-0.155978086)</f>
        <v>0</v>
      </c>
    </row>
    <row r="165" spans="1:253" ht="13.5" customHeight="1" x14ac:dyDescent="0.25">
      <c r="A165" s="41"/>
      <c r="D165" s="5" t="s">
        <v>406</v>
      </c>
      <c r="M165" s="63"/>
    </row>
    <row r="166" spans="1:253" x14ac:dyDescent="0.25">
      <c r="A166" s="60">
        <v>98</v>
      </c>
      <c r="B166" s="3" t="s">
        <v>51</v>
      </c>
      <c r="C166" s="3" t="s">
        <v>408</v>
      </c>
      <c r="D166" s="5" t="s">
        <v>409</v>
      </c>
      <c r="E166" s="3" t="s">
        <v>140</v>
      </c>
      <c r="F166" s="3" t="s">
        <v>708</v>
      </c>
      <c r="G166" s="38">
        <f>'Stavební rozpočet'!G158</f>
        <v>30</v>
      </c>
      <c r="H166" s="38">
        <f>'Stavební rozpočet'!H158</f>
        <v>0</v>
      </c>
      <c r="I166" s="38">
        <f t="shared" ref="I166:I172" si="24">IR166*G166</f>
        <v>0</v>
      </c>
      <c r="J166" s="38">
        <f t="shared" ref="J166:J172" si="25">IS166*G166</f>
        <v>0</v>
      </c>
      <c r="K166" s="38">
        <f t="shared" ref="K166:K172" si="26">IR166*G166+IS166*G166</f>
        <v>0</v>
      </c>
      <c r="L166" s="38">
        <f>'Stavební rozpočet'!N158</f>
        <v>8.4999999999999995E-4</v>
      </c>
      <c r="M166" s="61">
        <f t="shared" ref="M166:M172" si="27">L166*G166</f>
        <v>2.5499999999999998E-2</v>
      </c>
      <c r="HV166" s="3" t="s">
        <v>389</v>
      </c>
      <c r="HW166" s="3" t="s">
        <v>608</v>
      </c>
      <c r="IR166" s="62">
        <f>H166*0.665363409</f>
        <v>0</v>
      </c>
      <c r="IS166" s="62">
        <f>H166*(1-0.665363409)</f>
        <v>0</v>
      </c>
    </row>
    <row r="167" spans="1:253" x14ac:dyDescent="0.25">
      <c r="A167" s="60">
        <v>99</v>
      </c>
      <c r="B167" s="3" t="s">
        <v>51</v>
      </c>
      <c r="C167" s="3" t="s">
        <v>411</v>
      </c>
      <c r="D167" s="5" t="s">
        <v>412</v>
      </c>
      <c r="E167" s="3" t="s">
        <v>108</v>
      </c>
      <c r="F167" s="3" t="s">
        <v>709</v>
      </c>
      <c r="G167" s="38">
        <f>'Stavební rozpočet'!G159</f>
        <v>41.4</v>
      </c>
      <c r="H167" s="38">
        <f>'Stavební rozpočet'!H159</f>
        <v>0</v>
      </c>
      <c r="I167" s="38">
        <f t="shared" si="24"/>
        <v>0</v>
      </c>
      <c r="J167" s="38">
        <f t="shared" si="25"/>
        <v>0</v>
      </c>
      <c r="K167" s="38">
        <f t="shared" si="26"/>
        <v>0</v>
      </c>
      <c r="L167" s="38">
        <f>'Stavební rozpočet'!N159</f>
        <v>0</v>
      </c>
      <c r="M167" s="61">
        <f t="shared" si="27"/>
        <v>0</v>
      </c>
      <c r="HV167" s="3" t="s">
        <v>389</v>
      </c>
      <c r="HW167" s="3" t="s">
        <v>608</v>
      </c>
      <c r="IR167" s="62">
        <f>H167*0.0152</f>
        <v>0</v>
      </c>
      <c r="IS167" s="62">
        <f>H167*(1-0.0152)</f>
        <v>0</v>
      </c>
    </row>
    <row r="168" spans="1:253" x14ac:dyDescent="0.25">
      <c r="A168" s="60">
        <v>100</v>
      </c>
      <c r="B168" s="3" t="s">
        <v>51</v>
      </c>
      <c r="C168" s="3" t="s">
        <v>414</v>
      </c>
      <c r="D168" s="5" t="s">
        <v>415</v>
      </c>
      <c r="E168" s="3" t="s">
        <v>108</v>
      </c>
      <c r="F168" s="3" t="s">
        <v>710</v>
      </c>
      <c r="G168" s="38">
        <f>'Stavební rozpočet'!G160</f>
        <v>41.4</v>
      </c>
      <c r="H168" s="38">
        <f>'Stavební rozpočet'!H160</f>
        <v>0</v>
      </c>
      <c r="I168" s="38">
        <f t="shared" si="24"/>
        <v>0</v>
      </c>
      <c r="J168" s="38">
        <f t="shared" si="25"/>
        <v>0</v>
      </c>
      <c r="K168" s="38">
        <f t="shared" si="26"/>
        <v>0</v>
      </c>
      <c r="L168" s="38">
        <f>'Stavební rozpočet'!N160</f>
        <v>1.0000000000000001E-5</v>
      </c>
      <c r="M168" s="61">
        <f t="shared" si="27"/>
        <v>4.1400000000000003E-4</v>
      </c>
      <c r="HV168" s="3" t="s">
        <v>389</v>
      </c>
      <c r="HW168" s="3" t="s">
        <v>608</v>
      </c>
      <c r="IR168" s="62">
        <f>H168*0.051682692</f>
        <v>0</v>
      </c>
      <c r="IS168" s="62">
        <f>H168*(1-0.051682692)</f>
        <v>0</v>
      </c>
    </row>
    <row r="169" spans="1:253" x14ac:dyDescent="0.25">
      <c r="A169" s="60">
        <v>101</v>
      </c>
      <c r="B169" s="3" t="s">
        <v>51</v>
      </c>
      <c r="C169" s="3" t="s">
        <v>417</v>
      </c>
      <c r="D169" s="5" t="s">
        <v>418</v>
      </c>
      <c r="E169" s="3" t="s">
        <v>58</v>
      </c>
      <c r="F169" s="3" t="s">
        <v>711</v>
      </c>
      <c r="G169" s="38">
        <f>'Stavební rozpočet'!G161</f>
        <v>10</v>
      </c>
      <c r="H169" s="38">
        <f>'Stavební rozpočet'!H161</f>
        <v>0</v>
      </c>
      <c r="I169" s="38">
        <f t="shared" si="24"/>
        <v>0</v>
      </c>
      <c r="J169" s="38">
        <f t="shared" si="25"/>
        <v>0</v>
      </c>
      <c r="K169" s="38">
        <f t="shared" si="26"/>
        <v>0</v>
      </c>
      <c r="L169" s="38">
        <f>'Stavební rozpočet'!N161</f>
        <v>1E-4</v>
      </c>
      <c r="M169" s="61">
        <f t="shared" si="27"/>
        <v>1E-3</v>
      </c>
      <c r="HV169" s="3" t="s">
        <v>389</v>
      </c>
      <c r="HW169" s="3" t="s">
        <v>608</v>
      </c>
      <c r="IR169" s="62">
        <f>H169*0.563829787</f>
        <v>0</v>
      </c>
      <c r="IS169" s="62">
        <f>H169*(1-0.563829787)</f>
        <v>0</v>
      </c>
    </row>
    <row r="170" spans="1:253" x14ac:dyDescent="0.25">
      <c r="A170" s="60">
        <v>102</v>
      </c>
      <c r="B170" s="3" t="s">
        <v>51</v>
      </c>
      <c r="C170" s="3" t="s">
        <v>420</v>
      </c>
      <c r="D170" s="5" t="s">
        <v>421</v>
      </c>
      <c r="E170" s="3" t="s">
        <v>58</v>
      </c>
      <c r="F170" s="3" t="s">
        <v>53</v>
      </c>
      <c r="G170" s="38">
        <f>'Stavební rozpočet'!G162</f>
        <v>31</v>
      </c>
      <c r="H170" s="38">
        <f>'Stavební rozpočet'!H162</f>
        <v>0</v>
      </c>
      <c r="I170" s="38">
        <f t="shared" si="24"/>
        <v>0</v>
      </c>
      <c r="J170" s="38">
        <f t="shared" si="25"/>
        <v>0</v>
      </c>
      <c r="K170" s="38">
        <f t="shared" si="26"/>
        <v>0</v>
      </c>
      <c r="L170" s="38">
        <f>'Stavební rozpočet'!N162</f>
        <v>1.7000000000000001E-4</v>
      </c>
      <c r="M170" s="61">
        <f t="shared" si="27"/>
        <v>5.2700000000000004E-3</v>
      </c>
      <c r="HV170" s="3" t="s">
        <v>389</v>
      </c>
      <c r="HW170" s="3" t="s">
        <v>608</v>
      </c>
      <c r="IR170" s="62">
        <f>H170*0.381235108</f>
        <v>0</v>
      </c>
      <c r="IS170" s="62">
        <f>H170*(1-0.381235108)</f>
        <v>0</v>
      </c>
    </row>
    <row r="171" spans="1:253" x14ac:dyDescent="0.25">
      <c r="A171" s="60">
        <v>103</v>
      </c>
      <c r="B171" s="3" t="s">
        <v>51</v>
      </c>
      <c r="C171" s="3" t="s">
        <v>423</v>
      </c>
      <c r="D171" s="5" t="s">
        <v>424</v>
      </c>
      <c r="E171" s="3" t="s">
        <v>108</v>
      </c>
      <c r="F171" s="3" t="s">
        <v>712</v>
      </c>
      <c r="G171" s="38">
        <f>'Stavební rozpočet'!G163</f>
        <v>5</v>
      </c>
      <c r="H171" s="38">
        <f>'Stavební rozpočet'!H163</f>
        <v>0</v>
      </c>
      <c r="I171" s="38">
        <f t="shared" si="24"/>
        <v>0</v>
      </c>
      <c r="J171" s="38">
        <f t="shared" si="25"/>
        <v>0</v>
      </c>
      <c r="K171" s="38">
        <f t="shared" si="26"/>
        <v>0</v>
      </c>
      <c r="L171" s="38">
        <f>'Stavební rozpočet'!N163</f>
        <v>2E-3</v>
      </c>
      <c r="M171" s="61">
        <f t="shared" si="27"/>
        <v>0.01</v>
      </c>
      <c r="HV171" s="3" t="s">
        <v>389</v>
      </c>
      <c r="HW171" s="3" t="s">
        <v>608</v>
      </c>
      <c r="IR171" s="62">
        <f>H171*0</f>
        <v>0</v>
      </c>
      <c r="IS171" s="62">
        <f>H171*(1-0)</f>
        <v>0</v>
      </c>
    </row>
    <row r="172" spans="1:253" x14ac:dyDescent="0.25">
      <c r="A172" s="60">
        <v>104</v>
      </c>
      <c r="B172" s="3" t="s">
        <v>51</v>
      </c>
      <c r="C172" s="3" t="s">
        <v>426</v>
      </c>
      <c r="D172" s="5" t="s">
        <v>358</v>
      </c>
      <c r="E172" s="3" t="s">
        <v>140</v>
      </c>
      <c r="F172" s="3" t="s">
        <v>693</v>
      </c>
      <c r="G172" s="38">
        <f>'Stavební rozpočet'!G164</f>
        <v>1</v>
      </c>
      <c r="H172" s="38">
        <f>'Stavební rozpočet'!H164</f>
        <v>0</v>
      </c>
      <c r="I172" s="38">
        <f t="shared" si="24"/>
        <v>0</v>
      </c>
      <c r="J172" s="38">
        <f t="shared" si="25"/>
        <v>0</v>
      </c>
      <c r="K172" s="38">
        <f t="shared" si="26"/>
        <v>0</v>
      </c>
      <c r="L172" s="38">
        <f>'Stavební rozpočet'!N164</f>
        <v>6.2E-4</v>
      </c>
      <c r="M172" s="61">
        <f t="shared" si="27"/>
        <v>6.2E-4</v>
      </c>
      <c r="HV172" s="3" t="s">
        <v>389</v>
      </c>
      <c r="HW172" s="3" t="s">
        <v>608</v>
      </c>
      <c r="IR172" s="62">
        <f>H172*0.318423333</f>
        <v>0</v>
      </c>
      <c r="IS172" s="62">
        <f>H172*(1-0.318423333)</f>
        <v>0</v>
      </c>
    </row>
    <row r="173" spans="1:253" ht="13.5" customHeight="1" x14ac:dyDescent="0.25">
      <c r="A173" s="41"/>
      <c r="D173" s="5" t="s">
        <v>359</v>
      </c>
      <c r="M173" s="63"/>
    </row>
    <row r="174" spans="1:253" x14ac:dyDescent="0.25">
      <c r="A174" s="60">
        <v>105</v>
      </c>
      <c r="B174" s="3" t="s">
        <v>51</v>
      </c>
      <c r="C174" s="3" t="s">
        <v>428</v>
      </c>
      <c r="D174" s="5" t="s">
        <v>429</v>
      </c>
      <c r="E174" s="3" t="s">
        <v>166</v>
      </c>
      <c r="F174" s="3" t="s">
        <v>50</v>
      </c>
      <c r="G174" s="38">
        <f>'Stavební rozpočet'!G166</f>
        <v>0.22067000000000001</v>
      </c>
      <c r="H174" s="38">
        <f>'Stavební rozpočet'!H166</f>
        <v>0</v>
      </c>
      <c r="I174" s="38">
        <f>IR174*G174</f>
        <v>0</v>
      </c>
      <c r="J174" s="38">
        <f>IS174*G174</f>
        <v>0</v>
      </c>
      <c r="K174" s="38">
        <f>IR174*G174+IS174*G174</f>
        <v>0</v>
      </c>
      <c r="L174" s="38">
        <f>'Stavební rozpočet'!N166</f>
        <v>0</v>
      </c>
      <c r="M174" s="61">
        <f>L174*G174</f>
        <v>0</v>
      </c>
      <c r="HV174" s="3" t="s">
        <v>389</v>
      </c>
      <c r="HW174" s="3" t="s">
        <v>608</v>
      </c>
      <c r="IR174" s="62">
        <f>H174*0</f>
        <v>0</v>
      </c>
      <c r="IS174" s="62">
        <f>H174*(1-0)</f>
        <v>0</v>
      </c>
    </row>
    <row r="175" spans="1:253" x14ac:dyDescent="0.25">
      <c r="A175" s="58" t="s">
        <v>4</v>
      </c>
      <c r="B175" s="34" t="s">
        <v>51</v>
      </c>
      <c r="C175" s="34" t="s">
        <v>430</v>
      </c>
      <c r="D175" s="35" t="s">
        <v>431</v>
      </c>
      <c r="E175" s="34" t="s">
        <v>4</v>
      </c>
      <c r="F175" s="34" t="s">
        <v>4</v>
      </c>
      <c r="G175" s="13" t="s">
        <v>4</v>
      </c>
      <c r="H175" s="13" t="s">
        <v>4</v>
      </c>
      <c r="I175" s="1">
        <f>SUM(I176:I197)</f>
        <v>0</v>
      </c>
      <c r="J175" s="1">
        <f>SUM(J176:J197)</f>
        <v>0</v>
      </c>
      <c r="K175" s="1">
        <f>SUM(K176:K197)</f>
        <v>0</v>
      </c>
      <c r="L175" s="13" t="s">
        <v>4</v>
      </c>
      <c r="M175" s="59">
        <f>SUM(M176:M197)</f>
        <v>0.67256459999999996</v>
      </c>
    </row>
    <row r="176" spans="1:253" x14ac:dyDescent="0.25">
      <c r="A176" s="60">
        <v>106</v>
      </c>
      <c r="B176" s="3" t="s">
        <v>51</v>
      </c>
      <c r="C176" s="3" t="s">
        <v>433</v>
      </c>
      <c r="D176" s="5" t="s">
        <v>434</v>
      </c>
      <c r="E176" s="3" t="s">
        <v>58</v>
      </c>
      <c r="F176" s="3" t="s">
        <v>713</v>
      </c>
      <c r="G176" s="38">
        <f>'Stavební rozpočet'!G168</f>
        <v>2</v>
      </c>
      <c r="H176" s="38">
        <f>'Stavební rozpočet'!H168</f>
        <v>0</v>
      </c>
      <c r="I176" s="38">
        <f>IR176*G176</f>
        <v>0</v>
      </c>
      <c r="J176" s="38">
        <f>IS176*G176</f>
        <v>0</v>
      </c>
      <c r="K176" s="38">
        <f>IR176*G176+IS176*G176</f>
        <v>0</v>
      </c>
      <c r="L176" s="38">
        <f>'Stavební rozpočet'!N168</f>
        <v>4.0000000000000003E-5</v>
      </c>
      <c r="M176" s="61">
        <f>L176*G176</f>
        <v>8.0000000000000007E-5</v>
      </c>
      <c r="HV176" s="3" t="s">
        <v>430</v>
      </c>
      <c r="HW176" s="3" t="s">
        <v>608</v>
      </c>
      <c r="IR176" s="62">
        <f>H176*0.031931624</f>
        <v>0</v>
      </c>
      <c r="IS176" s="62">
        <f>H176*(1-0.031931624)</f>
        <v>0</v>
      </c>
    </row>
    <row r="177" spans="1:253" ht="25.5" x14ac:dyDescent="0.25">
      <c r="A177" s="60">
        <v>107</v>
      </c>
      <c r="B177" s="3" t="s">
        <v>51</v>
      </c>
      <c r="C177" s="3" t="s">
        <v>437</v>
      </c>
      <c r="D177" s="5" t="s">
        <v>438</v>
      </c>
      <c r="E177" s="3" t="s">
        <v>58</v>
      </c>
      <c r="F177" s="3" t="s">
        <v>714</v>
      </c>
      <c r="G177" s="38">
        <f>'Stavební rozpočet'!G169</f>
        <v>6</v>
      </c>
      <c r="H177" s="38">
        <f>'Stavební rozpočet'!H169</f>
        <v>0</v>
      </c>
      <c r="I177" s="38">
        <f>IR177*G177</f>
        <v>0</v>
      </c>
      <c r="J177" s="38">
        <f>IS177*G177</f>
        <v>0</v>
      </c>
      <c r="K177" s="38">
        <f>IR177*G177+IS177*G177</f>
        <v>0</v>
      </c>
      <c r="L177" s="38">
        <f>'Stavební rozpočet'!N169</f>
        <v>1.8E-3</v>
      </c>
      <c r="M177" s="61">
        <f>L177*G177</f>
        <v>1.0800000000000001E-2</v>
      </c>
      <c r="HV177" s="3" t="s">
        <v>430</v>
      </c>
      <c r="HW177" s="3" t="s">
        <v>608</v>
      </c>
      <c r="IR177" s="62">
        <f>H177*0.961249655</f>
        <v>0</v>
      </c>
      <c r="IS177" s="62">
        <f>H177*(1-0.961249655)</f>
        <v>0</v>
      </c>
    </row>
    <row r="178" spans="1:253" ht="40.5" customHeight="1" x14ac:dyDescent="0.25">
      <c r="A178" s="41"/>
      <c r="D178" s="5" t="s">
        <v>439</v>
      </c>
      <c r="M178" s="63"/>
    </row>
    <row r="179" spans="1:253" x14ac:dyDescent="0.25">
      <c r="A179" s="60">
        <v>108</v>
      </c>
      <c r="B179" s="3" t="s">
        <v>51</v>
      </c>
      <c r="C179" s="3" t="s">
        <v>441</v>
      </c>
      <c r="D179" s="5" t="s">
        <v>442</v>
      </c>
      <c r="E179" s="3" t="s">
        <v>58</v>
      </c>
      <c r="F179" s="3" t="s">
        <v>715</v>
      </c>
      <c r="G179" s="38">
        <f>'Stavební rozpočet'!G171</f>
        <v>2</v>
      </c>
      <c r="H179" s="38">
        <f>'Stavební rozpočet'!H171</f>
        <v>0</v>
      </c>
      <c r="I179" s="38">
        <f t="shared" ref="I179:I188" si="28">IR179*G179</f>
        <v>0</v>
      </c>
      <c r="J179" s="38">
        <f t="shared" ref="J179:J188" si="29">IS179*G179</f>
        <v>0</v>
      </c>
      <c r="K179" s="38">
        <f t="shared" ref="K179:K188" si="30">IR179*G179+IS179*G179</f>
        <v>0</v>
      </c>
      <c r="L179" s="38">
        <f>'Stavební rozpočet'!N171</f>
        <v>8.4999999999999995E-4</v>
      </c>
      <c r="M179" s="61">
        <f t="shared" ref="M179:M188" si="31">L179*G179</f>
        <v>1.6999999999999999E-3</v>
      </c>
      <c r="HV179" s="3" t="s">
        <v>430</v>
      </c>
      <c r="HW179" s="3" t="s">
        <v>608</v>
      </c>
      <c r="IR179" s="62">
        <f>H179*0.884522449</f>
        <v>0</v>
      </c>
      <c r="IS179" s="62">
        <f>H179*(1-0.884522449)</f>
        <v>0</v>
      </c>
    </row>
    <row r="180" spans="1:253" x14ac:dyDescent="0.25">
      <c r="A180" s="60">
        <v>109</v>
      </c>
      <c r="B180" s="3" t="s">
        <v>51</v>
      </c>
      <c r="C180" s="3" t="s">
        <v>444</v>
      </c>
      <c r="D180" s="5" t="s">
        <v>445</v>
      </c>
      <c r="E180" s="3" t="s">
        <v>140</v>
      </c>
      <c r="F180" s="3" t="s">
        <v>716</v>
      </c>
      <c r="G180" s="38">
        <f>'Stavební rozpočet'!G172</f>
        <v>6</v>
      </c>
      <c r="H180" s="38">
        <f>'Stavební rozpočet'!H172</f>
        <v>0</v>
      </c>
      <c r="I180" s="38">
        <f t="shared" si="28"/>
        <v>0</v>
      </c>
      <c r="J180" s="38">
        <f t="shared" si="29"/>
        <v>0</v>
      </c>
      <c r="K180" s="38">
        <f t="shared" si="30"/>
        <v>0</v>
      </c>
      <c r="L180" s="38">
        <f>'Stavební rozpočet'!N172</f>
        <v>8.4000000000000003E-4</v>
      </c>
      <c r="M180" s="61">
        <f t="shared" si="31"/>
        <v>5.0400000000000002E-3</v>
      </c>
      <c r="HV180" s="3" t="s">
        <v>430</v>
      </c>
      <c r="HW180" s="3" t="s">
        <v>608</v>
      </c>
      <c r="IR180" s="62">
        <f>H180*0.402375</f>
        <v>0</v>
      </c>
      <c r="IS180" s="62">
        <f>H180*(1-0.402375)</f>
        <v>0</v>
      </c>
    </row>
    <row r="181" spans="1:253" x14ac:dyDescent="0.25">
      <c r="A181" s="60">
        <v>110</v>
      </c>
      <c r="B181" s="3" t="s">
        <v>51</v>
      </c>
      <c r="C181" s="3" t="s">
        <v>447</v>
      </c>
      <c r="D181" s="5" t="s">
        <v>448</v>
      </c>
      <c r="E181" s="3" t="s">
        <v>58</v>
      </c>
      <c r="F181" s="3" t="s">
        <v>716</v>
      </c>
      <c r="G181" s="38">
        <f>'Stavební rozpočet'!G173</f>
        <v>6</v>
      </c>
      <c r="H181" s="38">
        <f>'Stavební rozpočet'!H173</f>
        <v>0</v>
      </c>
      <c r="I181" s="38">
        <f t="shared" si="28"/>
        <v>0</v>
      </c>
      <c r="J181" s="38">
        <f t="shared" si="29"/>
        <v>0</v>
      </c>
      <c r="K181" s="38">
        <f t="shared" si="30"/>
        <v>0</v>
      </c>
      <c r="L181" s="38">
        <f>'Stavební rozpočet'!N173</f>
        <v>7.6E-3</v>
      </c>
      <c r="M181" s="61">
        <f t="shared" si="31"/>
        <v>4.5600000000000002E-2</v>
      </c>
      <c r="HV181" s="3" t="s">
        <v>430</v>
      </c>
      <c r="HW181" s="3" t="s">
        <v>660</v>
      </c>
      <c r="IR181" s="62">
        <f>H181*1</f>
        <v>0</v>
      </c>
      <c r="IS181" s="62">
        <f>H181*(1-1)</f>
        <v>0</v>
      </c>
    </row>
    <row r="182" spans="1:253" x14ac:dyDescent="0.25">
      <c r="A182" s="60">
        <v>111</v>
      </c>
      <c r="B182" s="3" t="s">
        <v>51</v>
      </c>
      <c r="C182" s="3" t="s">
        <v>451</v>
      </c>
      <c r="D182" s="5" t="s">
        <v>452</v>
      </c>
      <c r="E182" s="3" t="s">
        <v>140</v>
      </c>
      <c r="F182" s="3" t="s">
        <v>717</v>
      </c>
      <c r="G182" s="38">
        <f>'Stavební rozpočet'!G175</f>
        <v>2</v>
      </c>
      <c r="H182" s="38">
        <f>'Stavební rozpočet'!H175</f>
        <v>0</v>
      </c>
      <c r="I182" s="38">
        <f t="shared" si="28"/>
        <v>0</v>
      </c>
      <c r="J182" s="38">
        <f t="shared" si="29"/>
        <v>0</v>
      </c>
      <c r="K182" s="38">
        <f t="shared" si="30"/>
        <v>0</v>
      </c>
      <c r="L182" s="38">
        <f>'Stavební rozpočet'!N175</f>
        <v>1.41E-3</v>
      </c>
      <c r="M182" s="61">
        <f t="shared" si="31"/>
        <v>2.82E-3</v>
      </c>
      <c r="HV182" s="3" t="s">
        <v>430</v>
      </c>
      <c r="HW182" s="3" t="s">
        <v>608</v>
      </c>
      <c r="IR182" s="62">
        <f>H182*0.149504432</f>
        <v>0</v>
      </c>
      <c r="IS182" s="62">
        <f>H182*(1-0.149504432)</f>
        <v>0</v>
      </c>
    </row>
    <row r="183" spans="1:253" x14ac:dyDescent="0.25">
      <c r="A183" s="60">
        <v>112</v>
      </c>
      <c r="B183" s="3" t="s">
        <v>51</v>
      </c>
      <c r="C183" s="3" t="s">
        <v>454</v>
      </c>
      <c r="D183" s="5" t="s">
        <v>455</v>
      </c>
      <c r="E183" s="3" t="s">
        <v>58</v>
      </c>
      <c r="F183" s="3" t="s">
        <v>718</v>
      </c>
      <c r="G183" s="38">
        <f>'Stavební rozpočet'!G176</f>
        <v>1</v>
      </c>
      <c r="H183" s="38">
        <f>'Stavební rozpočet'!H176</f>
        <v>0</v>
      </c>
      <c r="I183" s="38">
        <f t="shared" si="28"/>
        <v>0</v>
      </c>
      <c r="J183" s="38">
        <f t="shared" si="29"/>
        <v>0</v>
      </c>
      <c r="K183" s="38">
        <f t="shared" si="30"/>
        <v>0</v>
      </c>
      <c r="L183" s="38">
        <f>'Stavební rozpočet'!N176</f>
        <v>8.0000000000000002E-3</v>
      </c>
      <c r="M183" s="61">
        <f t="shared" si="31"/>
        <v>8.0000000000000002E-3</v>
      </c>
      <c r="HV183" s="3" t="s">
        <v>430</v>
      </c>
      <c r="HW183" s="3" t="s">
        <v>660</v>
      </c>
      <c r="IR183" s="62">
        <f>H183*1</f>
        <v>0</v>
      </c>
      <c r="IS183" s="62">
        <f>H183*(1-1)</f>
        <v>0</v>
      </c>
    </row>
    <row r="184" spans="1:253" x14ac:dyDescent="0.25">
      <c r="A184" s="60">
        <v>113</v>
      </c>
      <c r="B184" s="3" t="s">
        <v>51</v>
      </c>
      <c r="C184" s="3" t="s">
        <v>458</v>
      </c>
      <c r="D184" s="5" t="s">
        <v>459</v>
      </c>
      <c r="E184" s="3" t="s">
        <v>58</v>
      </c>
      <c r="F184" s="3" t="s">
        <v>719</v>
      </c>
      <c r="G184" s="38">
        <f>'Stavební rozpočet'!G178</f>
        <v>1</v>
      </c>
      <c r="H184" s="38">
        <f>'Stavební rozpočet'!H178</f>
        <v>0</v>
      </c>
      <c r="I184" s="38">
        <f t="shared" si="28"/>
        <v>0</v>
      </c>
      <c r="J184" s="38">
        <f t="shared" si="29"/>
        <v>0</v>
      </c>
      <c r="K184" s="38">
        <f t="shared" si="30"/>
        <v>0</v>
      </c>
      <c r="L184" s="38">
        <f>'Stavební rozpočet'!N178</f>
        <v>1.6E-2</v>
      </c>
      <c r="M184" s="61">
        <f t="shared" si="31"/>
        <v>1.6E-2</v>
      </c>
      <c r="HV184" s="3" t="s">
        <v>430</v>
      </c>
      <c r="HW184" s="3" t="s">
        <v>660</v>
      </c>
      <c r="IR184" s="62">
        <f>H184*1</f>
        <v>0</v>
      </c>
      <c r="IS184" s="62">
        <f>H184*(1-1)</f>
        <v>0</v>
      </c>
    </row>
    <row r="185" spans="1:253" x14ac:dyDescent="0.25">
      <c r="A185" s="60">
        <v>114</v>
      </c>
      <c r="B185" s="3" t="s">
        <v>51</v>
      </c>
      <c r="C185" s="3" t="s">
        <v>462</v>
      </c>
      <c r="D185" s="5" t="s">
        <v>463</v>
      </c>
      <c r="E185" s="3" t="s">
        <v>58</v>
      </c>
      <c r="F185" s="3" t="s">
        <v>720</v>
      </c>
      <c r="G185" s="38">
        <f>'Stavební rozpočet'!G180</f>
        <v>8</v>
      </c>
      <c r="H185" s="38">
        <f>'Stavební rozpočet'!H180</f>
        <v>0</v>
      </c>
      <c r="I185" s="38">
        <f t="shared" si="28"/>
        <v>0</v>
      </c>
      <c r="J185" s="38">
        <f t="shared" si="29"/>
        <v>0</v>
      </c>
      <c r="K185" s="38">
        <f t="shared" si="30"/>
        <v>0</v>
      </c>
      <c r="L185" s="38">
        <f>'Stavební rozpočet'!N180</f>
        <v>0</v>
      </c>
      <c r="M185" s="61">
        <f t="shared" si="31"/>
        <v>0</v>
      </c>
      <c r="HV185" s="3" t="s">
        <v>430</v>
      </c>
      <c r="HW185" s="3" t="s">
        <v>608</v>
      </c>
      <c r="IR185" s="62">
        <f>H185*0.855861751</f>
        <v>0</v>
      </c>
      <c r="IS185" s="62">
        <f>H185*(1-0.855861751)</f>
        <v>0</v>
      </c>
    </row>
    <row r="186" spans="1:253" x14ac:dyDescent="0.25">
      <c r="A186" s="60">
        <v>115</v>
      </c>
      <c r="B186" s="3" t="s">
        <v>51</v>
      </c>
      <c r="C186" s="3" t="s">
        <v>465</v>
      </c>
      <c r="D186" s="5" t="s">
        <v>466</v>
      </c>
      <c r="E186" s="3" t="s">
        <v>140</v>
      </c>
      <c r="F186" s="3" t="s">
        <v>721</v>
      </c>
      <c r="G186" s="38">
        <f>'Stavební rozpočet'!G181</f>
        <v>9</v>
      </c>
      <c r="H186" s="38">
        <f>'Stavební rozpočet'!H181</f>
        <v>0</v>
      </c>
      <c r="I186" s="38">
        <f t="shared" si="28"/>
        <v>0</v>
      </c>
      <c r="J186" s="38">
        <f t="shared" si="29"/>
        <v>0</v>
      </c>
      <c r="K186" s="38">
        <f t="shared" si="30"/>
        <v>0</v>
      </c>
      <c r="L186" s="38">
        <f>'Stavební rozpočet'!N181</f>
        <v>8.7000000000000001E-4</v>
      </c>
      <c r="M186" s="61">
        <f t="shared" si="31"/>
        <v>7.8300000000000002E-3</v>
      </c>
      <c r="HV186" s="3" t="s">
        <v>430</v>
      </c>
      <c r="HW186" s="3" t="s">
        <v>608</v>
      </c>
      <c r="IR186" s="62">
        <f>H186*0.217154472</f>
        <v>0</v>
      </c>
      <c r="IS186" s="62">
        <f>H186*(1-0.217154472)</f>
        <v>0</v>
      </c>
    </row>
    <row r="187" spans="1:253" x14ac:dyDescent="0.25">
      <c r="A187" s="60">
        <v>116</v>
      </c>
      <c r="B187" s="3" t="s">
        <v>51</v>
      </c>
      <c r="C187" s="3" t="s">
        <v>468</v>
      </c>
      <c r="D187" s="5" t="s">
        <v>469</v>
      </c>
      <c r="E187" s="3" t="s">
        <v>140</v>
      </c>
      <c r="F187" s="3" t="s">
        <v>722</v>
      </c>
      <c r="G187" s="38">
        <f>'Stavební rozpočet'!G182</f>
        <v>2</v>
      </c>
      <c r="H187" s="38">
        <f>'Stavební rozpočet'!H182</f>
        <v>0</v>
      </c>
      <c r="I187" s="38">
        <f t="shared" si="28"/>
        <v>0</v>
      </c>
      <c r="J187" s="38">
        <f t="shared" si="29"/>
        <v>0</v>
      </c>
      <c r="K187" s="38">
        <f t="shared" si="30"/>
        <v>0</v>
      </c>
      <c r="L187" s="38">
        <f>'Stavební rozpočet'!N182</f>
        <v>7.6000000000000004E-4</v>
      </c>
      <c r="M187" s="61">
        <f t="shared" si="31"/>
        <v>1.5200000000000001E-3</v>
      </c>
      <c r="HV187" s="3" t="s">
        <v>430</v>
      </c>
      <c r="HW187" s="3" t="s">
        <v>608</v>
      </c>
      <c r="IR187" s="62">
        <f>H187*0.869889368</f>
        <v>0</v>
      </c>
      <c r="IS187" s="62">
        <f>H187*(1-0.869889368)</f>
        <v>0</v>
      </c>
    </row>
    <row r="188" spans="1:253" x14ac:dyDescent="0.25">
      <c r="A188" s="60">
        <v>117</v>
      </c>
      <c r="B188" s="3" t="s">
        <v>51</v>
      </c>
      <c r="C188" s="3" t="s">
        <v>471</v>
      </c>
      <c r="D188" s="5" t="s">
        <v>472</v>
      </c>
      <c r="E188" s="3" t="s">
        <v>140</v>
      </c>
      <c r="F188" s="3" t="s">
        <v>723</v>
      </c>
      <c r="G188" s="38">
        <f>'Stavební rozpočet'!G183</f>
        <v>9</v>
      </c>
      <c r="H188" s="38">
        <f>'Stavební rozpočet'!H183</f>
        <v>0</v>
      </c>
      <c r="I188" s="38">
        <f t="shared" si="28"/>
        <v>0</v>
      </c>
      <c r="J188" s="38">
        <f t="shared" si="29"/>
        <v>0</v>
      </c>
      <c r="K188" s="38">
        <f t="shared" si="30"/>
        <v>0</v>
      </c>
      <c r="L188" s="38">
        <f>'Stavební rozpočet'!N183</f>
        <v>1.9869999999999999E-2</v>
      </c>
      <c r="M188" s="61">
        <f t="shared" si="31"/>
        <v>0.17882999999999999</v>
      </c>
      <c r="HV188" s="3" t="s">
        <v>430</v>
      </c>
      <c r="HW188" s="3" t="s">
        <v>608</v>
      </c>
      <c r="IR188" s="62">
        <f>H188*0.871904762</f>
        <v>0</v>
      </c>
      <c r="IS188" s="62">
        <f>H188*(1-0.871904762)</f>
        <v>0</v>
      </c>
    </row>
    <row r="189" spans="1:253" ht="13.5" customHeight="1" x14ac:dyDescent="0.25">
      <c r="A189" s="41"/>
      <c r="D189" s="5" t="s">
        <v>473</v>
      </c>
      <c r="M189" s="63"/>
    </row>
    <row r="190" spans="1:253" x14ac:dyDescent="0.25">
      <c r="A190" s="60">
        <v>118</v>
      </c>
      <c r="B190" s="3" t="s">
        <v>51</v>
      </c>
      <c r="C190" s="3" t="s">
        <v>475</v>
      </c>
      <c r="D190" s="5" t="s">
        <v>476</v>
      </c>
      <c r="E190" s="3" t="s">
        <v>140</v>
      </c>
      <c r="F190" s="3" t="s">
        <v>724</v>
      </c>
      <c r="G190" s="38">
        <f>'Stavební rozpočet'!G185</f>
        <v>1</v>
      </c>
      <c r="H190" s="38">
        <f>'Stavební rozpočet'!H185</f>
        <v>0</v>
      </c>
      <c r="I190" s="38">
        <f t="shared" ref="I190:I195" si="32">IR190*G190</f>
        <v>0</v>
      </c>
      <c r="J190" s="38">
        <f t="shared" ref="J190:J195" si="33">IS190*G190</f>
        <v>0</v>
      </c>
      <c r="K190" s="38">
        <f t="shared" ref="K190:K195" si="34">IR190*G190+IS190*G190</f>
        <v>0</v>
      </c>
      <c r="L190" s="38">
        <f>'Stavební rozpočet'!N185</f>
        <v>1.8400000000000001E-3</v>
      </c>
      <c r="M190" s="61">
        <f t="shared" ref="M190:M195" si="35">L190*G190</f>
        <v>1.8400000000000001E-3</v>
      </c>
      <c r="HV190" s="3" t="s">
        <v>430</v>
      </c>
      <c r="HW190" s="3" t="s">
        <v>608</v>
      </c>
      <c r="IR190" s="62">
        <f>H190*0.443493724</f>
        <v>0</v>
      </c>
      <c r="IS190" s="62">
        <f>H190*(1-0.443493724)</f>
        <v>0</v>
      </c>
    </row>
    <row r="191" spans="1:253" x14ac:dyDescent="0.25">
      <c r="A191" s="60">
        <v>119</v>
      </c>
      <c r="B191" s="3" t="s">
        <v>51</v>
      </c>
      <c r="C191" s="3" t="s">
        <v>478</v>
      </c>
      <c r="D191" s="5" t="s">
        <v>479</v>
      </c>
      <c r="E191" s="3" t="s">
        <v>58</v>
      </c>
      <c r="F191" s="3" t="s">
        <v>725</v>
      </c>
      <c r="G191" s="38">
        <f>'Stavební rozpočet'!G186</f>
        <v>1</v>
      </c>
      <c r="H191" s="38">
        <f>'Stavební rozpočet'!H186</f>
        <v>0</v>
      </c>
      <c r="I191" s="38">
        <f t="shared" si="32"/>
        <v>0</v>
      </c>
      <c r="J191" s="38">
        <f t="shared" si="33"/>
        <v>0</v>
      </c>
      <c r="K191" s="38">
        <f t="shared" si="34"/>
        <v>0</v>
      </c>
      <c r="L191" s="38">
        <f>'Stavební rozpočet'!N186</f>
        <v>3.0929999999999999E-2</v>
      </c>
      <c r="M191" s="61">
        <f t="shared" si="35"/>
        <v>3.0929999999999999E-2</v>
      </c>
      <c r="HV191" s="3" t="s">
        <v>430</v>
      </c>
      <c r="HW191" s="3" t="s">
        <v>608</v>
      </c>
      <c r="IR191" s="62">
        <f>H191*0.821758495</f>
        <v>0</v>
      </c>
      <c r="IS191" s="62">
        <f>H191*(1-0.821758495)</f>
        <v>0</v>
      </c>
    </row>
    <row r="192" spans="1:253" x14ac:dyDescent="0.25">
      <c r="A192" s="60">
        <v>120</v>
      </c>
      <c r="B192" s="3" t="s">
        <v>51</v>
      </c>
      <c r="C192" s="3" t="s">
        <v>481</v>
      </c>
      <c r="D192" s="5" t="s">
        <v>482</v>
      </c>
      <c r="E192" s="3" t="s">
        <v>140</v>
      </c>
      <c r="F192" s="3" t="s">
        <v>726</v>
      </c>
      <c r="G192" s="38">
        <f>'Stavební rozpočet'!G187</f>
        <v>5</v>
      </c>
      <c r="H192" s="38">
        <f>'Stavební rozpočet'!H187</f>
        <v>0</v>
      </c>
      <c r="I192" s="38">
        <f t="shared" si="32"/>
        <v>0</v>
      </c>
      <c r="J192" s="38">
        <f t="shared" si="33"/>
        <v>0</v>
      </c>
      <c r="K192" s="38">
        <f t="shared" si="34"/>
        <v>0</v>
      </c>
      <c r="L192" s="38">
        <f>'Stavební rozpočet'!N187</f>
        <v>5.9899999999999997E-3</v>
      </c>
      <c r="M192" s="61">
        <f t="shared" si="35"/>
        <v>2.9949999999999997E-2</v>
      </c>
      <c r="HV192" s="3" t="s">
        <v>430</v>
      </c>
      <c r="HW192" s="3" t="s">
        <v>608</v>
      </c>
      <c r="IR192" s="62">
        <f>H192*0.682625498</f>
        <v>0</v>
      </c>
      <c r="IS192" s="62">
        <f>H192*(1-0.682625498)</f>
        <v>0</v>
      </c>
    </row>
    <row r="193" spans="1:253" x14ac:dyDescent="0.25">
      <c r="A193" s="60">
        <v>121</v>
      </c>
      <c r="B193" s="3" t="s">
        <v>51</v>
      </c>
      <c r="C193" s="3" t="s">
        <v>484</v>
      </c>
      <c r="D193" s="5" t="s">
        <v>485</v>
      </c>
      <c r="E193" s="3" t="s">
        <v>58</v>
      </c>
      <c r="F193" s="3" t="s">
        <v>726</v>
      </c>
      <c r="G193" s="38">
        <f>'Stavební rozpočet'!G188</f>
        <v>5</v>
      </c>
      <c r="H193" s="38">
        <f>'Stavební rozpočet'!H188</f>
        <v>0</v>
      </c>
      <c r="I193" s="38">
        <f t="shared" si="32"/>
        <v>0</v>
      </c>
      <c r="J193" s="38">
        <f t="shared" si="33"/>
        <v>0</v>
      </c>
      <c r="K193" s="38">
        <f t="shared" si="34"/>
        <v>0</v>
      </c>
      <c r="L193" s="38">
        <f>'Stavební rozpočet'!N188</f>
        <v>1.6E-2</v>
      </c>
      <c r="M193" s="61">
        <f t="shared" si="35"/>
        <v>0.08</v>
      </c>
      <c r="HV193" s="3" t="s">
        <v>430</v>
      </c>
      <c r="HW193" s="3" t="s">
        <v>660</v>
      </c>
      <c r="IR193" s="62">
        <f>H193*1</f>
        <v>0</v>
      </c>
      <c r="IS193" s="62">
        <f>H193*(1-1)</f>
        <v>0</v>
      </c>
    </row>
    <row r="194" spans="1:253" x14ac:dyDescent="0.25">
      <c r="A194" s="60">
        <v>122</v>
      </c>
      <c r="B194" s="3" t="s">
        <v>51</v>
      </c>
      <c r="C194" s="3" t="s">
        <v>488</v>
      </c>
      <c r="D194" s="5" t="s">
        <v>489</v>
      </c>
      <c r="E194" s="3" t="s">
        <v>58</v>
      </c>
      <c r="F194" s="3" t="s">
        <v>726</v>
      </c>
      <c r="G194" s="38">
        <f>'Stavební rozpočet'!G190</f>
        <v>5</v>
      </c>
      <c r="H194" s="38">
        <f>'Stavební rozpočet'!H190</f>
        <v>0</v>
      </c>
      <c r="I194" s="38">
        <f t="shared" si="32"/>
        <v>0</v>
      </c>
      <c r="J194" s="38">
        <f t="shared" si="33"/>
        <v>0</v>
      </c>
      <c r="K194" s="38">
        <f t="shared" si="34"/>
        <v>0</v>
      </c>
      <c r="L194" s="38">
        <f>'Stavební rozpočet'!N190</f>
        <v>1.6E-2</v>
      </c>
      <c r="M194" s="61">
        <f t="shared" si="35"/>
        <v>0.08</v>
      </c>
      <c r="HV194" s="3" t="s">
        <v>430</v>
      </c>
      <c r="HW194" s="3" t="s">
        <v>660</v>
      </c>
      <c r="IR194" s="62">
        <f>H194*1</f>
        <v>0</v>
      </c>
      <c r="IS194" s="62">
        <f>H194*(1-1)</f>
        <v>0</v>
      </c>
    </row>
    <row r="195" spans="1:253" x14ac:dyDescent="0.25">
      <c r="A195" s="60">
        <v>123</v>
      </c>
      <c r="B195" s="3" t="s">
        <v>51</v>
      </c>
      <c r="C195" s="3" t="s">
        <v>492</v>
      </c>
      <c r="D195" s="5" t="s">
        <v>493</v>
      </c>
      <c r="E195" s="3" t="s">
        <v>83</v>
      </c>
      <c r="F195" s="3" t="s">
        <v>727</v>
      </c>
      <c r="G195" s="38">
        <f>'Stavební rozpočet'!G192</f>
        <v>40.477499999999999</v>
      </c>
      <c r="H195" s="38">
        <f>'Stavební rozpočet'!H192</f>
        <v>0</v>
      </c>
      <c r="I195" s="38">
        <f t="shared" si="32"/>
        <v>0</v>
      </c>
      <c r="J195" s="38">
        <f t="shared" si="33"/>
        <v>0</v>
      </c>
      <c r="K195" s="38">
        <f t="shared" si="34"/>
        <v>0</v>
      </c>
      <c r="L195" s="38">
        <f>'Stavební rozpočet'!N192</f>
        <v>4.2399999999999998E-3</v>
      </c>
      <c r="M195" s="61">
        <f t="shared" si="35"/>
        <v>0.17162459999999999</v>
      </c>
      <c r="HV195" s="3" t="s">
        <v>430</v>
      </c>
      <c r="HW195" s="3" t="s">
        <v>608</v>
      </c>
      <c r="IR195" s="62">
        <f>H195*0.75</f>
        <v>0</v>
      </c>
      <c r="IS195" s="62">
        <f>H195*(1-0.75)</f>
        <v>0</v>
      </c>
    </row>
    <row r="196" spans="1:253" ht="54" customHeight="1" x14ac:dyDescent="0.25">
      <c r="A196" s="41"/>
      <c r="D196" s="5" t="s">
        <v>494</v>
      </c>
      <c r="M196" s="63"/>
    </row>
    <row r="197" spans="1:253" x14ac:dyDescent="0.25">
      <c r="A197" s="144" t="s">
        <v>50</v>
      </c>
      <c r="B197" s="107"/>
      <c r="C197" s="107"/>
      <c r="D197" s="107"/>
      <c r="E197" s="107"/>
      <c r="F197" s="3" t="s">
        <v>728</v>
      </c>
      <c r="G197" s="38">
        <v>14.175000000000001</v>
      </c>
      <c r="H197" s="38">
        <f>'Stavební rozpočet'!H192</f>
        <v>0</v>
      </c>
      <c r="M197" s="63"/>
      <c r="HV197" s="3" t="s">
        <v>430</v>
      </c>
      <c r="HW197" s="3" t="s">
        <v>608</v>
      </c>
      <c r="IR197" s="62">
        <f>H197*0.75</f>
        <v>0</v>
      </c>
      <c r="IS197" s="62">
        <f>H197*(1-0.75)</f>
        <v>0</v>
      </c>
    </row>
    <row r="198" spans="1:253" x14ac:dyDescent="0.25">
      <c r="A198" s="58" t="s">
        <v>4</v>
      </c>
      <c r="B198" s="34" t="s">
        <v>51</v>
      </c>
      <c r="C198" s="34" t="s">
        <v>495</v>
      </c>
      <c r="D198" s="35" t="s">
        <v>496</v>
      </c>
      <c r="E198" s="34" t="s">
        <v>4</v>
      </c>
      <c r="F198" s="34" t="s">
        <v>4</v>
      </c>
      <c r="G198" s="13" t="s">
        <v>4</v>
      </c>
      <c r="H198" s="13" t="s">
        <v>4</v>
      </c>
      <c r="I198" s="1">
        <f>SUM(I199:I199)</f>
        <v>0</v>
      </c>
      <c r="J198" s="1">
        <f>SUM(J199:J199)</f>
        <v>0</v>
      </c>
      <c r="K198" s="1">
        <f>SUM(K199:K199)</f>
        <v>0</v>
      </c>
      <c r="L198" s="13" t="s">
        <v>4</v>
      </c>
      <c r="M198" s="59">
        <f>SUM(M199:M199)</f>
        <v>0.11673</v>
      </c>
    </row>
    <row r="199" spans="1:253" x14ac:dyDescent="0.25">
      <c r="A199" s="60">
        <v>124</v>
      </c>
      <c r="B199" s="3" t="s">
        <v>51</v>
      </c>
      <c r="C199" s="3" t="s">
        <v>498</v>
      </c>
      <c r="D199" s="5" t="s">
        <v>499</v>
      </c>
      <c r="E199" s="3" t="s">
        <v>140</v>
      </c>
      <c r="F199" s="3" t="s">
        <v>729</v>
      </c>
      <c r="G199" s="38">
        <f>'Stavební rozpočet'!G195</f>
        <v>9</v>
      </c>
      <c r="H199" s="38">
        <f>'Stavební rozpočet'!H195</f>
        <v>0</v>
      </c>
      <c r="I199" s="38">
        <f>IR199*G199</f>
        <v>0</v>
      </c>
      <c r="J199" s="38">
        <f>IS199*G199</f>
        <v>0</v>
      </c>
      <c r="K199" s="38">
        <f>IR199*G199+IS199*G199</f>
        <v>0</v>
      </c>
      <c r="L199" s="38">
        <f>'Stavební rozpočet'!N195</f>
        <v>1.2970000000000001E-2</v>
      </c>
      <c r="M199" s="61">
        <f>L199*G199</f>
        <v>0.11673</v>
      </c>
      <c r="HV199" s="3" t="s">
        <v>495</v>
      </c>
      <c r="HW199" s="3" t="s">
        <v>608</v>
      </c>
      <c r="IR199" s="62">
        <f>H199*0.883307522</f>
        <v>0</v>
      </c>
      <c r="IS199" s="62">
        <f>H199*(1-0.883307522)</f>
        <v>0</v>
      </c>
    </row>
    <row r="200" spans="1:253" x14ac:dyDescent="0.25">
      <c r="A200" s="58" t="s">
        <v>4</v>
      </c>
      <c r="B200" s="34" t="s">
        <v>51</v>
      </c>
      <c r="C200" s="34" t="s">
        <v>501</v>
      </c>
      <c r="D200" s="35" t="s">
        <v>502</v>
      </c>
      <c r="E200" s="34" t="s">
        <v>4</v>
      </c>
      <c r="F200" s="34" t="s">
        <v>4</v>
      </c>
      <c r="G200" s="13" t="s">
        <v>4</v>
      </c>
      <c r="H200" s="13" t="s">
        <v>4</v>
      </c>
      <c r="I200" s="1">
        <f>SUM(I201:I201)</f>
        <v>0</v>
      </c>
      <c r="J200" s="1">
        <f>SUM(J201:J201)</f>
        <v>0</v>
      </c>
      <c r="K200" s="1">
        <f>SUM(K201:K201)</f>
        <v>0</v>
      </c>
      <c r="L200" s="13" t="s">
        <v>4</v>
      </c>
      <c r="M200" s="59">
        <f>SUM(M201:M201)</f>
        <v>0</v>
      </c>
    </row>
    <row r="201" spans="1:253" x14ac:dyDescent="0.25">
      <c r="A201" s="60">
        <v>125</v>
      </c>
      <c r="B201" s="3" t="s">
        <v>51</v>
      </c>
      <c r="C201" s="3" t="s">
        <v>127</v>
      </c>
      <c r="D201" s="5" t="s">
        <v>504</v>
      </c>
      <c r="E201" s="3" t="s">
        <v>140</v>
      </c>
      <c r="F201" s="3" t="s">
        <v>730</v>
      </c>
      <c r="G201" s="38">
        <f>'Stavební rozpočet'!G197</f>
        <v>1</v>
      </c>
      <c r="H201" s="38">
        <f>'Stavební rozpočet'!H197</f>
        <v>0</v>
      </c>
      <c r="I201" s="38">
        <f>IR201*G201</f>
        <v>0</v>
      </c>
      <c r="J201" s="38">
        <f>IS201*G201</f>
        <v>0</v>
      </c>
      <c r="K201" s="38">
        <f>IR201*G201+IS201*G201</f>
        <v>0</v>
      </c>
      <c r="L201" s="38">
        <f>'Stavební rozpočet'!N197</f>
        <v>0</v>
      </c>
      <c r="M201" s="61">
        <f>L201*G201</f>
        <v>0</v>
      </c>
      <c r="HV201" s="3" t="s">
        <v>501</v>
      </c>
      <c r="HW201" s="3" t="s">
        <v>608</v>
      </c>
      <c r="IR201" s="62">
        <f>H201*0</f>
        <v>0</v>
      </c>
      <c r="IS201" s="62">
        <f>H201*(1-0)</f>
        <v>0</v>
      </c>
    </row>
    <row r="202" spans="1:253" x14ac:dyDescent="0.25">
      <c r="A202" s="58" t="s">
        <v>4</v>
      </c>
      <c r="B202" s="34" t="s">
        <v>51</v>
      </c>
      <c r="C202" s="34" t="s">
        <v>506</v>
      </c>
      <c r="D202" s="35" t="s">
        <v>507</v>
      </c>
      <c r="E202" s="34" t="s">
        <v>4</v>
      </c>
      <c r="F202" s="34" t="s">
        <v>4</v>
      </c>
      <c r="G202" s="13" t="s">
        <v>4</v>
      </c>
      <c r="H202" s="13" t="s">
        <v>4</v>
      </c>
      <c r="I202" s="1">
        <f>SUM(I203:I208)</f>
        <v>0</v>
      </c>
      <c r="J202" s="1">
        <f>SUM(J203:J208)</f>
        <v>0</v>
      </c>
      <c r="K202" s="1">
        <f>SUM(K203:K208)</f>
        <v>0</v>
      </c>
      <c r="L202" s="13" t="s">
        <v>4</v>
      </c>
      <c r="M202" s="59">
        <f>SUM(M203:M208)</f>
        <v>0.19931199999999999</v>
      </c>
    </row>
    <row r="203" spans="1:253" x14ac:dyDescent="0.25">
      <c r="A203" s="60">
        <v>126</v>
      </c>
      <c r="B203" s="3" t="s">
        <v>51</v>
      </c>
      <c r="C203" s="3" t="s">
        <v>509</v>
      </c>
      <c r="D203" s="5" t="s">
        <v>510</v>
      </c>
      <c r="E203" s="3" t="s">
        <v>108</v>
      </c>
      <c r="F203" s="3" t="s">
        <v>731</v>
      </c>
      <c r="G203" s="38">
        <f>'Stavební rozpočet'!G199</f>
        <v>4.8</v>
      </c>
      <c r="H203" s="38">
        <f>'Stavební rozpočet'!H199</f>
        <v>0</v>
      </c>
      <c r="I203" s="38">
        <f t="shared" ref="I203:I208" si="36">IR203*G203</f>
        <v>0</v>
      </c>
      <c r="J203" s="38">
        <f t="shared" ref="J203:J208" si="37">IS203*G203</f>
        <v>0</v>
      </c>
      <c r="K203" s="38">
        <f t="shared" ref="K203:K208" si="38">IR203*G203+IS203*G203</f>
        <v>0</v>
      </c>
      <c r="L203" s="38">
        <f>'Stavební rozpočet'!N199</f>
        <v>5.9300000000000004E-3</v>
      </c>
      <c r="M203" s="61">
        <f t="shared" ref="M203:M208" si="39">L203*G203</f>
        <v>2.8464E-2</v>
      </c>
      <c r="HV203" s="3" t="s">
        <v>506</v>
      </c>
      <c r="HW203" s="3" t="s">
        <v>608</v>
      </c>
      <c r="IR203" s="62">
        <f>H203*0.167449139</f>
        <v>0</v>
      </c>
      <c r="IS203" s="62">
        <f>H203*(1-0.167449139)</f>
        <v>0</v>
      </c>
    </row>
    <row r="204" spans="1:253" x14ac:dyDescent="0.25">
      <c r="A204" s="60">
        <v>127</v>
      </c>
      <c r="B204" s="3" t="s">
        <v>51</v>
      </c>
      <c r="C204" s="3" t="s">
        <v>514</v>
      </c>
      <c r="D204" s="5" t="s">
        <v>515</v>
      </c>
      <c r="E204" s="3" t="s">
        <v>108</v>
      </c>
      <c r="F204" s="3" t="s">
        <v>731</v>
      </c>
      <c r="G204" s="38">
        <f>'Stavební rozpočet'!G200</f>
        <v>4.8</v>
      </c>
      <c r="H204" s="38">
        <f>'Stavební rozpočet'!H200</f>
        <v>0</v>
      </c>
      <c r="I204" s="38">
        <f t="shared" si="36"/>
        <v>0</v>
      </c>
      <c r="J204" s="38">
        <f t="shared" si="37"/>
        <v>0</v>
      </c>
      <c r="K204" s="38">
        <f t="shared" si="38"/>
        <v>0</v>
      </c>
      <c r="L204" s="38">
        <f>'Stavební rozpočet'!N200</f>
        <v>7.6000000000000004E-4</v>
      </c>
      <c r="M204" s="61">
        <f t="shared" si="39"/>
        <v>3.6480000000000002E-3</v>
      </c>
      <c r="HV204" s="3" t="s">
        <v>506</v>
      </c>
      <c r="HW204" s="3" t="s">
        <v>608</v>
      </c>
      <c r="IR204" s="62">
        <f>H204*0.580631763</f>
        <v>0</v>
      </c>
      <c r="IS204" s="62">
        <f>H204*(1-0.580631763)</f>
        <v>0</v>
      </c>
    </row>
    <row r="205" spans="1:253" x14ac:dyDescent="0.25">
      <c r="A205" s="60">
        <v>128</v>
      </c>
      <c r="B205" s="3" t="s">
        <v>51</v>
      </c>
      <c r="C205" s="3" t="s">
        <v>517</v>
      </c>
      <c r="D205" s="5" t="s">
        <v>518</v>
      </c>
      <c r="E205" s="3" t="s">
        <v>58</v>
      </c>
      <c r="F205" s="3" t="s">
        <v>732</v>
      </c>
      <c r="G205" s="38">
        <f>'Stavební rozpočet'!G201</f>
        <v>12</v>
      </c>
      <c r="H205" s="38">
        <f>'Stavební rozpočet'!H201</f>
        <v>0</v>
      </c>
      <c r="I205" s="38">
        <f t="shared" si="36"/>
        <v>0</v>
      </c>
      <c r="J205" s="38">
        <f t="shared" si="37"/>
        <v>0</v>
      </c>
      <c r="K205" s="38">
        <f t="shared" si="38"/>
        <v>0</v>
      </c>
      <c r="L205" s="38">
        <f>'Stavební rozpočet'!N201</f>
        <v>0</v>
      </c>
      <c r="M205" s="61">
        <f t="shared" si="39"/>
        <v>0</v>
      </c>
      <c r="HV205" s="3" t="s">
        <v>506</v>
      </c>
      <c r="HW205" s="3" t="s">
        <v>608</v>
      </c>
      <c r="IR205" s="62">
        <f>H205*0</f>
        <v>0</v>
      </c>
      <c r="IS205" s="62">
        <f>H205*(1-0)</f>
        <v>0</v>
      </c>
    </row>
    <row r="206" spans="1:253" x14ac:dyDescent="0.25">
      <c r="A206" s="60">
        <v>129</v>
      </c>
      <c r="B206" s="3" t="s">
        <v>51</v>
      </c>
      <c r="C206" s="3" t="s">
        <v>520</v>
      </c>
      <c r="D206" s="5" t="s">
        <v>521</v>
      </c>
      <c r="E206" s="3" t="s">
        <v>58</v>
      </c>
      <c r="F206" s="3" t="s">
        <v>733</v>
      </c>
      <c r="G206" s="38">
        <f>'Stavební rozpočet'!G202</f>
        <v>2</v>
      </c>
      <c r="H206" s="38">
        <f>'Stavební rozpočet'!H202</f>
        <v>0</v>
      </c>
      <c r="I206" s="38">
        <f t="shared" si="36"/>
        <v>0</v>
      </c>
      <c r="J206" s="38">
        <f t="shared" si="37"/>
        <v>0</v>
      </c>
      <c r="K206" s="38">
        <f t="shared" si="38"/>
        <v>0</v>
      </c>
      <c r="L206" s="38">
        <f>'Stavební rozpočet'!N202</f>
        <v>0</v>
      </c>
      <c r="M206" s="61">
        <f t="shared" si="39"/>
        <v>0</v>
      </c>
      <c r="HV206" s="3" t="s">
        <v>506</v>
      </c>
      <c r="HW206" s="3" t="s">
        <v>608</v>
      </c>
      <c r="IR206" s="62">
        <f>H206*0</f>
        <v>0</v>
      </c>
      <c r="IS206" s="62">
        <f>H206*(1-0)</f>
        <v>0</v>
      </c>
    </row>
    <row r="207" spans="1:253" x14ac:dyDescent="0.25">
      <c r="A207" s="60">
        <v>130</v>
      </c>
      <c r="B207" s="3" t="s">
        <v>51</v>
      </c>
      <c r="C207" s="3" t="s">
        <v>524</v>
      </c>
      <c r="D207" s="5" t="s">
        <v>525</v>
      </c>
      <c r="E207" s="3" t="s">
        <v>58</v>
      </c>
      <c r="F207" s="3" t="s">
        <v>733</v>
      </c>
      <c r="G207" s="38">
        <f>'Stavební rozpočet'!G204</f>
        <v>2</v>
      </c>
      <c r="H207" s="38">
        <f>'Stavební rozpočet'!H204</f>
        <v>0</v>
      </c>
      <c r="I207" s="38">
        <f t="shared" si="36"/>
        <v>0</v>
      </c>
      <c r="J207" s="38">
        <f t="shared" si="37"/>
        <v>0</v>
      </c>
      <c r="K207" s="38">
        <f t="shared" si="38"/>
        <v>0</v>
      </c>
      <c r="L207" s="38">
        <f>'Stavební rozpočet'!N204</f>
        <v>8.3599999999999994E-2</v>
      </c>
      <c r="M207" s="61">
        <f t="shared" si="39"/>
        <v>0.16719999999999999</v>
      </c>
      <c r="HV207" s="3" t="s">
        <v>506</v>
      </c>
      <c r="HW207" s="3" t="s">
        <v>660</v>
      </c>
      <c r="IR207" s="62">
        <f>H207*1</f>
        <v>0</v>
      </c>
      <c r="IS207" s="62">
        <f>H207*(1-1)</f>
        <v>0</v>
      </c>
    </row>
    <row r="208" spans="1:253" x14ac:dyDescent="0.25">
      <c r="A208" s="60">
        <v>131</v>
      </c>
      <c r="B208" s="3" t="s">
        <v>51</v>
      </c>
      <c r="C208" s="3" t="s">
        <v>528</v>
      </c>
      <c r="D208" s="5" t="s">
        <v>529</v>
      </c>
      <c r="E208" s="3" t="s">
        <v>166</v>
      </c>
      <c r="F208" s="3" t="s">
        <v>50</v>
      </c>
      <c r="G208" s="38">
        <f>'Stavební rozpočet'!G206</f>
        <v>0.19930999999999999</v>
      </c>
      <c r="H208" s="38">
        <f>'Stavební rozpočet'!H206</f>
        <v>0</v>
      </c>
      <c r="I208" s="38">
        <f t="shared" si="36"/>
        <v>0</v>
      </c>
      <c r="J208" s="38">
        <f t="shared" si="37"/>
        <v>0</v>
      </c>
      <c r="K208" s="38">
        <f t="shared" si="38"/>
        <v>0</v>
      </c>
      <c r="L208" s="38">
        <f>'Stavební rozpočet'!N206</f>
        <v>0</v>
      </c>
      <c r="M208" s="61">
        <f t="shared" si="39"/>
        <v>0</v>
      </c>
      <c r="HV208" s="3" t="s">
        <v>506</v>
      </c>
      <c r="HW208" s="3" t="s">
        <v>608</v>
      </c>
      <c r="IR208" s="62">
        <f>H208*0</f>
        <v>0</v>
      </c>
      <c r="IS208" s="62">
        <f>H208*(1-0)</f>
        <v>0</v>
      </c>
    </row>
    <row r="209" spans="1:253" x14ac:dyDescent="0.25">
      <c r="A209" s="58" t="s">
        <v>4</v>
      </c>
      <c r="B209" s="34" t="s">
        <v>51</v>
      </c>
      <c r="C209" s="34" t="s">
        <v>530</v>
      </c>
      <c r="D209" s="35" t="s">
        <v>531</v>
      </c>
      <c r="E209" s="34" t="s">
        <v>4</v>
      </c>
      <c r="F209" s="34" t="s">
        <v>4</v>
      </c>
      <c r="G209" s="13" t="s">
        <v>4</v>
      </c>
      <c r="H209" s="13" t="s">
        <v>4</v>
      </c>
      <c r="I209" s="1">
        <f>SUM(I210:I215)</f>
        <v>0</v>
      </c>
      <c r="J209" s="1">
        <f>SUM(J210:J215)</f>
        <v>0</v>
      </c>
      <c r="K209" s="1">
        <f>SUM(K210:K215)</f>
        <v>0</v>
      </c>
      <c r="L209" s="13" t="s">
        <v>4</v>
      </c>
      <c r="M209" s="59">
        <f>SUM(M210:M215)</f>
        <v>0.27872000000000002</v>
      </c>
    </row>
    <row r="210" spans="1:253" x14ac:dyDescent="0.25">
      <c r="A210" s="60">
        <v>132</v>
      </c>
      <c r="B210" s="3" t="s">
        <v>51</v>
      </c>
      <c r="C210" s="3" t="s">
        <v>533</v>
      </c>
      <c r="D210" s="5" t="s">
        <v>534</v>
      </c>
      <c r="E210" s="3" t="s">
        <v>58</v>
      </c>
      <c r="F210" s="3" t="s">
        <v>734</v>
      </c>
      <c r="G210" s="38">
        <f>'Stavební rozpočet'!G208</f>
        <v>5</v>
      </c>
      <c r="H210" s="38">
        <f>'Stavební rozpočet'!H208</f>
        <v>0</v>
      </c>
      <c r="I210" s="38">
        <f t="shared" ref="I210:I215" si="40">IR210*G210</f>
        <v>0</v>
      </c>
      <c r="J210" s="38">
        <f t="shared" ref="J210:J215" si="41">IS210*G210</f>
        <v>0</v>
      </c>
      <c r="K210" s="38">
        <f t="shared" ref="K210:K215" si="42">IR210*G210+IS210*G210</f>
        <v>0</v>
      </c>
      <c r="L210" s="38">
        <f>'Stavební rozpočet'!N208</f>
        <v>2.0000000000000002E-5</v>
      </c>
      <c r="M210" s="61">
        <f t="shared" ref="M210:M215" si="43">L210*G210</f>
        <v>1E-4</v>
      </c>
      <c r="HV210" s="3" t="s">
        <v>530</v>
      </c>
      <c r="HW210" s="3" t="s">
        <v>608</v>
      </c>
      <c r="IR210" s="62">
        <f>H210*0.026015936</f>
        <v>0</v>
      </c>
      <c r="IS210" s="62">
        <f>H210*(1-0.026015936)</f>
        <v>0</v>
      </c>
    </row>
    <row r="211" spans="1:253" x14ac:dyDescent="0.25">
      <c r="A211" s="60">
        <v>133</v>
      </c>
      <c r="B211" s="3" t="s">
        <v>51</v>
      </c>
      <c r="C211" s="3" t="s">
        <v>538</v>
      </c>
      <c r="D211" s="5" t="s">
        <v>539</v>
      </c>
      <c r="E211" s="3" t="s">
        <v>58</v>
      </c>
      <c r="F211" s="3" t="s">
        <v>735</v>
      </c>
      <c r="G211" s="38">
        <f>'Stavební rozpočet'!G209</f>
        <v>2</v>
      </c>
      <c r="H211" s="38">
        <f>'Stavební rozpočet'!H209</f>
        <v>0</v>
      </c>
      <c r="I211" s="38">
        <f t="shared" si="40"/>
        <v>0</v>
      </c>
      <c r="J211" s="38">
        <f t="shared" si="41"/>
        <v>0</v>
      </c>
      <c r="K211" s="38">
        <f t="shared" si="42"/>
        <v>0</v>
      </c>
      <c r="L211" s="38">
        <f>'Stavební rozpočet'!N209</f>
        <v>1.0000000000000001E-5</v>
      </c>
      <c r="M211" s="61">
        <f t="shared" si="43"/>
        <v>2.0000000000000002E-5</v>
      </c>
      <c r="HV211" s="3" t="s">
        <v>530</v>
      </c>
      <c r="HW211" s="3" t="s">
        <v>608</v>
      </c>
      <c r="IR211" s="62">
        <f>H211*0.030858703</f>
        <v>0</v>
      </c>
      <c r="IS211" s="62">
        <f>H211*(1-0.030858703)</f>
        <v>0</v>
      </c>
    </row>
    <row r="212" spans="1:253" x14ac:dyDescent="0.25">
      <c r="A212" s="60">
        <v>134</v>
      </c>
      <c r="B212" s="3" t="s">
        <v>51</v>
      </c>
      <c r="C212" s="3" t="s">
        <v>541</v>
      </c>
      <c r="D212" s="5" t="s">
        <v>542</v>
      </c>
      <c r="E212" s="3" t="s">
        <v>58</v>
      </c>
      <c r="F212" s="3" t="s">
        <v>736</v>
      </c>
      <c r="G212" s="38">
        <f>'Stavební rozpočet'!G210</f>
        <v>5</v>
      </c>
      <c r="H212" s="38">
        <f>'Stavební rozpočet'!H210</f>
        <v>0</v>
      </c>
      <c r="I212" s="38">
        <f t="shared" si="40"/>
        <v>0</v>
      </c>
      <c r="J212" s="38">
        <f t="shared" si="41"/>
        <v>0</v>
      </c>
      <c r="K212" s="38">
        <f t="shared" si="42"/>
        <v>0</v>
      </c>
      <c r="L212" s="38">
        <f>'Stavební rozpočet'!N210</f>
        <v>3.5000000000000003E-2</v>
      </c>
      <c r="M212" s="61">
        <f t="shared" si="43"/>
        <v>0.17500000000000002</v>
      </c>
      <c r="HV212" s="3" t="s">
        <v>530</v>
      </c>
      <c r="HW212" s="3" t="s">
        <v>660</v>
      </c>
      <c r="IR212" s="62">
        <f>H212*1</f>
        <v>0</v>
      </c>
      <c r="IS212" s="62">
        <f>H212*(1-1)</f>
        <v>0</v>
      </c>
    </row>
    <row r="213" spans="1:253" x14ac:dyDescent="0.25">
      <c r="A213" s="60">
        <v>135</v>
      </c>
      <c r="B213" s="3" t="s">
        <v>51</v>
      </c>
      <c r="C213" s="3" t="s">
        <v>544</v>
      </c>
      <c r="D213" s="5" t="s">
        <v>545</v>
      </c>
      <c r="E213" s="3" t="s">
        <v>58</v>
      </c>
      <c r="F213" s="3" t="s">
        <v>736</v>
      </c>
      <c r="G213" s="38">
        <f>'Stavební rozpočet'!G211</f>
        <v>5</v>
      </c>
      <c r="H213" s="38">
        <f>'Stavební rozpočet'!H211</f>
        <v>0</v>
      </c>
      <c r="I213" s="38">
        <f t="shared" si="40"/>
        <v>0</v>
      </c>
      <c r="J213" s="38">
        <f t="shared" si="41"/>
        <v>0</v>
      </c>
      <c r="K213" s="38">
        <f t="shared" si="42"/>
        <v>0</v>
      </c>
      <c r="L213" s="38">
        <f>'Stavební rozpočet'!N211</f>
        <v>0.02</v>
      </c>
      <c r="M213" s="61">
        <f t="shared" si="43"/>
        <v>0.1</v>
      </c>
      <c r="HV213" s="3" t="s">
        <v>530</v>
      </c>
      <c r="HW213" s="3" t="s">
        <v>660</v>
      </c>
      <c r="IR213" s="62">
        <f>H213*1</f>
        <v>0</v>
      </c>
      <c r="IS213" s="62">
        <f>H213*(1-1)</f>
        <v>0</v>
      </c>
    </row>
    <row r="214" spans="1:253" x14ac:dyDescent="0.25">
      <c r="A214" s="60">
        <v>136</v>
      </c>
      <c r="B214" s="3" t="s">
        <v>51</v>
      </c>
      <c r="C214" s="3" t="s">
        <v>547</v>
      </c>
      <c r="D214" s="5" t="s">
        <v>548</v>
      </c>
      <c r="E214" s="3" t="s">
        <v>58</v>
      </c>
      <c r="F214" s="3" t="s">
        <v>737</v>
      </c>
      <c r="G214" s="38">
        <f>'Stavební rozpočet'!G212</f>
        <v>2</v>
      </c>
      <c r="H214" s="38">
        <f>'Stavební rozpočet'!H212</f>
        <v>0</v>
      </c>
      <c r="I214" s="38">
        <f t="shared" si="40"/>
        <v>0</v>
      </c>
      <c r="J214" s="38">
        <f t="shared" si="41"/>
        <v>0</v>
      </c>
      <c r="K214" s="38">
        <f t="shared" si="42"/>
        <v>0</v>
      </c>
      <c r="L214" s="38">
        <f>'Stavební rozpočet'!N212</f>
        <v>1.8E-3</v>
      </c>
      <c r="M214" s="61">
        <f t="shared" si="43"/>
        <v>3.5999999999999999E-3</v>
      </c>
      <c r="HV214" s="3" t="s">
        <v>530</v>
      </c>
      <c r="HW214" s="3" t="s">
        <v>660</v>
      </c>
      <c r="IR214" s="62">
        <f>H214*1</f>
        <v>0</v>
      </c>
      <c r="IS214" s="62">
        <f>H214*(1-1)</f>
        <v>0</v>
      </c>
    </row>
    <row r="215" spans="1:253" x14ac:dyDescent="0.25">
      <c r="A215" s="60">
        <v>137</v>
      </c>
      <c r="B215" s="3" t="s">
        <v>51</v>
      </c>
      <c r="C215" s="3" t="s">
        <v>551</v>
      </c>
      <c r="D215" s="5" t="s">
        <v>552</v>
      </c>
      <c r="E215" s="3" t="s">
        <v>166</v>
      </c>
      <c r="F215" s="3" t="s">
        <v>50</v>
      </c>
      <c r="G215" s="38">
        <f>'Stavební rozpočet'!G213</f>
        <v>0.27872000000000002</v>
      </c>
      <c r="H215" s="38">
        <f>'Stavební rozpočet'!H213</f>
        <v>0</v>
      </c>
      <c r="I215" s="38">
        <f t="shared" si="40"/>
        <v>0</v>
      </c>
      <c r="J215" s="38">
        <f t="shared" si="41"/>
        <v>0</v>
      </c>
      <c r="K215" s="38">
        <f t="shared" si="42"/>
        <v>0</v>
      </c>
      <c r="L215" s="38">
        <f>'Stavební rozpočet'!N213</f>
        <v>0</v>
      </c>
      <c r="M215" s="61">
        <f t="shared" si="43"/>
        <v>0</v>
      </c>
      <c r="HV215" s="3" t="s">
        <v>530</v>
      </c>
      <c r="HW215" s="3" t="s">
        <v>608</v>
      </c>
      <c r="IR215" s="62">
        <f>H215*0</f>
        <v>0</v>
      </c>
      <c r="IS215" s="62">
        <f>H215*(1-0)</f>
        <v>0</v>
      </c>
    </row>
    <row r="216" spans="1:253" x14ac:dyDescent="0.25">
      <c r="A216" s="58" t="s">
        <v>4</v>
      </c>
      <c r="B216" s="34" t="s">
        <v>51</v>
      </c>
      <c r="C216" s="34" t="s">
        <v>553</v>
      </c>
      <c r="D216" s="35" t="s">
        <v>554</v>
      </c>
      <c r="E216" s="34" t="s">
        <v>4</v>
      </c>
      <c r="F216" s="34" t="s">
        <v>4</v>
      </c>
      <c r="G216" s="13" t="s">
        <v>4</v>
      </c>
      <c r="H216" s="13" t="s">
        <v>4</v>
      </c>
      <c r="I216" s="1">
        <f>SUM(I217:I220)</f>
        <v>0</v>
      </c>
      <c r="J216" s="1">
        <f>SUM(J217:J220)</f>
        <v>0</v>
      </c>
      <c r="K216" s="1">
        <f>SUM(K217:K220)</f>
        <v>0</v>
      </c>
      <c r="L216" s="13" t="s">
        <v>4</v>
      </c>
      <c r="M216" s="59">
        <f>SUM(M217:M220)</f>
        <v>1.0359647999999999</v>
      </c>
    </row>
    <row r="217" spans="1:253" x14ac:dyDescent="0.25">
      <c r="A217" s="60">
        <v>138</v>
      </c>
      <c r="B217" s="3" t="s">
        <v>51</v>
      </c>
      <c r="C217" s="3" t="s">
        <v>556</v>
      </c>
      <c r="D217" s="5" t="s">
        <v>557</v>
      </c>
      <c r="E217" s="3" t="s">
        <v>83</v>
      </c>
      <c r="F217" s="3" t="s">
        <v>679</v>
      </c>
      <c r="G217" s="38">
        <f>'Stavební rozpočet'!G215</f>
        <v>46.81</v>
      </c>
      <c r="H217" s="38">
        <f>'Stavební rozpočet'!H215</f>
        <v>0</v>
      </c>
      <c r="I217" s="38">
        <f>IR217*G217</f>
        <v>0</v>
      </c>
      <c r="J217" s="38">
        <f>IS217*G217</f>
        <v>0</v>
      </c>
      <c r="K217" s="38">
        <f>IR217*G217+IS217*G217</f>
        <v>0</v>
      </c>
      <c r="L217" s="38">
        <f>'Stavební rozpočet'!N215</f>
        <v>0</v>
      </c>
      <c r="M217" s="61">
        <f>L217*G217</f>
        <v>0</v>
      </c>
      <c r="HV217" s="3" t="s">
        <v>553</v>
      </c>
      <c r="HW217" s="3" t="s">
        <v>608</v>
      </c>
      <c r="IR217" s="62">
        <f>H217*0</f>
        <v>0</v>
      </c>
      <c r="IS217" s="62">
        <f>H217*(1-0)</f>
        <v>0</v>
      </c>
    </row>
    <row r="218" spans="1:253" ht="25.5" x14ac:dyDescent="0.25">
      <c r="A218" s="60">
        <v>139</v>
      </c>
      <c r="B218" s="3" t="s">
        <v>51</v>
      </c>
      <c r="C218" s="3" t="s">
        <v>561</v>
      </c>
      <c r="D218" s="5" t="s">
        <v>562</v>
      </c>
      <c r="E218" s="3" t="s">
        <v>83</v>
      </c>
      <c r="F218" s="3" t="s">
        <v>738</v>
      </c>
      <c r="G218" s="38">
        <f>'Stavební rozpočet'!G216</f>
        <v>53.831499999999998</v>
      </c>
      <c r="H218" s="38">
        <f>'Stavební rozpočet'!H216</f>
        <v>0</v>
      </c>
      <c r="I218" s="38">
        <f>IR218*G218</f>
        <v>0</v>
      </c>
      <c r="J218" s="38">
        <f>IS218*G218</f>
        <v>0</v>
      </c>
      <c r="K218" s="38">
        <f>IR218*G218+IS218*G218</f>
        <v>0</v>
      </c>
      <c r="L218" s="38">
        <f>'Stavební rozpočet'!N216</f>
        <v>1.9199999999999998E-2</v>
      </c>
      <c r="M218" s="61">
        <f>L218*G218</f>
        <v>1.0335648</v>
      </c>
      <c r="HV218" s="3" t="s">
        <v>553</v>
      </c>
      <c r="HW218" s="3" t="s">
        <v>660</v>
      </c>
      <c r="IR218" s="62">
        <f>H218*1</f>
        <v>0</v>
      </c>
      <c r="IS218" s="62">
        <f>H218*(1-1)</f>
        <v>0</v>
      </c>
    </row>
    <row r="219" spans="1:253" x14ac:dyDescent="0.25">
      <c r="A219" s="60">
        <v>140</v>
      </c>
      <c r="B219" s="3" t="s">
        <v>51</v>
      </c>
      <c r="C219" s="3" t="s">
        <v>564</v>
      </c>
      <c r="D219" s="5" t="s">
        <v>565</v>
      </c>
      <c r="E219" s="3" t="s">
        <v>108</v>
      </c>
      <c r="F219" s="3" t="s">
        <v>739</v>
      </c>
      <c r="G219" s="38">
        <f>'Stavební rozpočet'!G217</f>
        <v>60</v>
      </c>
      <c r="H219" s="38">
        <f>'Stavební rozpočet'!H217</f>
        <v>0</v>
      </c>
      <c r="I219" s="38">
        <f>IR219*G219</f>
        <v>0</v>
      </c>
      <c r="J219" s="38">
        <f>IS219*G219</f>
        <v>0</v>
      </c>
      <c r="K219" s="38">
        <f>IR219*G219+IS219*G219</f>
        <v>0</v>
      </c>
      <c r="L219" s="38">
        <f>'Stavební rozpočet'!N217</f>
        <v>4.0000000000000003E-5</v>
      </c>
      <c r="M219" s="61">
        <f>L219*G219</f>
        <v>2.4000000000000002E-3</v>
      </c>
      <c r="HV219" s="3" t="s">
        <v>553</v>
      </c>
      <c r="HW219" s="3" t="s">
        <v>608</v>
      </c>
      <c r="IR219" s="62">
        <f>H219*0.470182121</f>
        <v>0</v>
      </c>
      <c r="IS219" s="62">
        <f>H219*(1-0.470182121)</f>
        <v>0</v>
      </c>
    </row>
    <row r="220" spans="1:253" x14ac:dyDescent="0.25">
      <c r="A220" s="60">
        <v>141</v>
      </c>
      <c r="B220" s="3" t="s">
        <v>51</v>
      </c>
      <c r="C220" s="3" t="s">
        <v>567</v>
      </c>
      <c r="D220" s="5" t="s">
        <v>568</v>
      </c>
      <c r="E220" s="3" t="s">
        <v>166</v>
      </c>
      <c r="F220" s="3" t="s">
        <v>50</v>
      </c>
      <c r="G220" s="38">
        <f>'Stavební rozpočet'!G218</f>
        <v>1.03596</v>
      </c>
      <c r="H220" s="38">
        <f>'Stavební rozpočet'!H218</f>
        <v>0</v>
      </c>
      <c r="I220" s="38">
        <f>IR220*G220</f>
        <v>0</v>
      </c>
      <c r="J220" s="38">
        <f>IS220*G220</f>
        <v>0</v>
      </c>
      <c r="K220" s="38">
        <f>IR220*G220+IS220*G220</f>
        <v>0</v>
      </c>
      <c r="L220" s="38">
        <f>'Stavební rozpočet'!N218</f>
        <v>0</v>
      </c>
      <c r="M220" s="61">
        <f>L220*G220</f>
        <v>0</v>
      </c>
      <c r="HV220" s="3" t="s">
        <v>553</v>
      </c>
      <c r="HW220" s="3" t="s">
        <v>608</v>
      </c>
      <c r="IR220" s="62">
        <f>H220*0</f>
        <v>0</v>
      </c>
      <c r="IS220" s="62">
        <f>H220*(1-0)</f>
        <v>0</v>
      </c>
    </row>
    <row r="221" spans="1:253" x14ac:dyDescent="0.25">
      <c r="A221" s="58" t="s">
        <v>4</v>
      </c>
      <c r="B221" s="34" t="s">
        <v>51</v>
      </c>
      <c r="C221" s="34" t="s">
        <v>569</v>
      </c>
      <c r="D221" s="35" t="s">
        <v>570</v>
      </c>
      <c r="E221" s="34" t="s">
        <v>4</v>
      </c>
      <c r="F221" s="34" t="s">
        <v>4</v>
      </c>
      <c r="G221" s="13" t="s">
        <v>4</v>
      </c>
      <c r="H221" s="13" t="s">
        <v>4</v>
      </c>
      <c r="I221" s="1">
        <f>SUM(I222:I239)</f>
        <v>0</v>
      </c>
      <c r="J221" s="1">
        <f>SUM(J222:J239)</f>
        <v>0</v>
      </c>
      <c r="K221" s="1">
        <f>SUM(K222:K239)</f>
        <v>0</v>
      </c>
      <c r="L221" s="13" t="s">
        <v>4</v>
      </c>
      <c r="M221" s="59">
        <f>SUM(M222:M239)</f>
        <v>3.8072502610000001</v>
      </c>
    </row>
    <row r="222" spans="1:253" x14ac:dyDescent="0.25">
      <c r="A222" s="60">
        <v>142</v>
      </c>
      <c r="B222" s="3" t="s">
        <v>51</v>
      </c>
      <c r="C222" s="3" t="s">
        <v>572</v>
      </c>
      <c r="D222" s="5" t="s">
        <v>573</v>
      </c>
      <c r="E222" s="3" t="s">
        <v>83</v>
      </c>
      <c r="F222" s="3" t="s">
        <v>740</v>
      </c>
      <c r="G222" s="38">
        <f>'Stavební rozpočet'!G220</f>
        <v>142.40020000000001</v>
      </c>
      <c r="H222" s="38">
        <f>'Stavební rozpočet'!H220</f>
        <v>0</v>
      </c>
      <c r="I222" s="38">
        <f>IR222*G222</f>
        <v>0</v>
      </c>
      <c r="J222" s="38">
        <f>IS222*G222</f>
        <v>0</v>
      </c>
      <c r="K222" s="38">
        <f>IR222*G222+IS222*G222</f>
        <v>0</v>
      </c>
      <c r="L222" s="38">
        <f>'Stavební rozpočet'!N220</f>
        <v>5.0299999999999997E-3</v>
      </c>
      <c r="M222" s="61">
        <f>L222*G222</f>
        <v>0.71627300599999999</v>
      </c>
      <c r="HV222" s="3" t="s">
        <v>569</v>
      </c>
      <c r="HW222" s="3" t="s">
        <v>608</v>
      </c>
      <c r="IR222" s="62">
        <f>H222*0.167055993</f>
        <v>0</v>
      </c>
      <c r="IS222" s="62">
        <f>H222*(1-0.167055993)</f>
        <v>0</v>
      </c>
    </row>
    <row r="223" spans="1:253" x14ac:dyDescent="0.25">
      <c r="A223" s="144" t="s">
        <v>50</v>
      </c>
      <c r="B223" s="107"/>
      <c r="C223" s="107"/>
      <c r="D223" s="107"/>
      <c r="E223" s="107"/>
      <c r="F223" s="3" t="s">
        <v>624</v>
      </c>
      <c r="G223" s="38">
        <v>43.094000000000001</v>
      </c>
      <c r="H223" s="38">
        <f>'Stavební rozpočet'!H220</f>
        <v>0</v>
      </c>
      <c r="M223" s="63"/>
      <c r="HV223" s="3" t="s">
        <v>569</v>
      </c>
      <c r="HW223" s="3" t="s">
        <v>608</v>
      </c>
      <c r="IR223" s="62">
        <f>H223*0.167055993</f>
        <v>0</v>
      </c>
      <c r="IS223" s="62">
        <f>H223*(1-0.167055993)</f>
        <v>0</v>
      </c>
    </row>
    <row r="224" spans="1:253" x14ac:dyDescent="0.25">
      <c r="A224" s="144" t="s">
        <v>50</v>
      </c>
      <c r="B224" s="107"/>
      <c r="C224" s="107"/>
      <c r="D224" s="107"/>
      <c r="E224" s="107"/>
      <c r="F224" s="3" t="s">
        <v>625</v>
      </c>
      <c r="G224" s="38">
        <v>20.595199999999998</v>
      </c>
      <c r="H224" s="38">
        <f>'Stavební rozpočet'!H220</f>
        <v>0</v>
      </c>
      <c r="M224" s="63"/>
      <c r="HV224" s="3" t="s">
        <v>569</v>
      </c>
      <c r="HW224" s="3" t="s">
        <v>608</v>
      </c>
      <c r="IR224" s="62">
        <f>H224*0.167055993</f>
        <v>0</v>
      </c>
      <c r="IS224" s="62">
        <f>H224*(1-0.167055993)</f>
        <v>0</v>
      </c>
    </row>
    <row r="225" spans="1:253" x14ac:dyDescent="0.25">
      <c r="A225" s="144" t="s">
        <v>50</v>
      </c>
      <c r="B225" s="107"/>
      <c r="C225" s="107"/>
      <c r="D225" s="107"/>
      <c r="E225" s="107"/>
      <c r="F225" s="3" t="s">
        <v>626</v>
      </c>
      <c r="G225" s="38">
        <v>39.493000000000002</v>
      </c>
      <c r="H225" s="38">
        <f>'Stavební rozpočet'!H220</f>
        <v>0</v>
      </c>
      <c r="M225" s="63"/>
      <c r="HV225" s="3" t="s">
        <v>569</v>
      </c>
      <c r="HW225" s="3" t="s">
        <v>608</v>
      </c>
      <c r="IR225" s="62">
        <f>H225*0.167055993</f>
        <v>0</v>
      </c>
      <c r="IS225" s="62">
        <f>H225*(1-0.167055993)</f>
        <v>0</v>
      </c>
    </row>
    <row r="226" spans="1:253" x14ac:dyDescent="0.25">
      <c r="A226" s="144" t="s">
        <v>50</v>
      </c>
      <c r="B226" s="107"/>
      <c r="C226" s="107"/>
      <c r="D226" s="107"/>
      <c r="E226" s="107"/>
      <c r="F226" s="3" t="s">
        <v>627</v>
      </c>
      <c r="G226" s="38">
        <v>21.643999999999998</v>
      </c>
      <c r="H226" s="38">
        <f>'Stavební rozpočet'!H220</f>
        <v>0</v>
      </c>
      <c r="M226" s="63"/>
      <c r="HV226" s="3" t="s">
        <v>569</v>
      </c>
      <c r="HW226" s="3" t="s">
        <v>608</v>
      </c>
      <c r="IR226" s="62">
        <f>H226*0.167055993</f>
        <v>0</v>
      </c>
      <c r="IS226" s="62">
        <f>H226*(1-0.167055993)</f>
        <v>0</v>
      </c>
    </row>
    <row r="227" spans="1:253" ht="25.5" x14ac:dyDescent="0.25">
      <c r="A227" s="60">
        <v>143</v>
      </c>
      <c r="B227" s="3" t="s">
        <v>51</v>
      </c>
      <c r="C227" s="3" t="s">
        <v>578</v>
      </c>
      <c r="D227" s="5" t="s">
        <v>579</v>
      </c>
      <c r="E227" s="3" t="s">
        <v>83</v>
      </c>
      <c r="F227" s="3" t="s">
        <v>741</v>
      </c>
      <c r="G227" s="38">
        <f>'Stavební rozpočet'!G222</f>
        <v>163.76023000000001</v>
      </c>
      <c r="H227" s="38">
        <f>'Stavební rozpočet'!H222</f>
        <v>0</v>
      </c>
      <c r="I227" s="38">
        <f>IR227*G227</f>
        <v>0</v>
      </c>
      <c r="J227" s="38">
        <f>IS227*G227</f>
        <v>0</v>
      </c>
      <c r="K227" s="38">
        <f>IR227*G227+IS227*G227</f>
        <v>0</v>
      </c>
      <c r="L227" s="38">
        <f>'Stavební rozpočet'!N222</f>
        <v>1.8499999999999999E-2</v>
      </c>
      <c r="M227" s="61">
        <f>L227*G227</f>
        <v>3.0295642549999999</v>
      </c>
      <c r="HV227" s="3" t="s">
        <v>569</v>
      </c>
      <c r="HW227" s="3" t="s">
        <v>660</v>
      </c>
      <c r="IR227" s="62">
        <f>H227*1</f>
        <v>0</v>
      </c>
      <c r="IS227" s="62">
        <f>H227*(1-1)</f>
        <v>0</v>
      </c>
    </row>
    <row r="228" spans="1:253" x14ac:dyDescent="0.25">
      <c r="A228" s="144" t="s">
        <v>50</v>
      </c>
      <c r="B228" s="107"/>
      <c r="C228" s="107"/>
      <c r="D228" s="107"/>
      <c r="E228" s="107"/>
      <c r="F228" s="3" t="s">
        <v>742</v>
      </c>
      <c r="G228" s="38">
        <v>49.558100000000003</v>
      </c>
      <c r="H228" s="38">
        <f>'Stavební rozpočet'!H222</f>
        <v>0</v>
      </c>
      <c r="M228" s="63"/>
      <c r="HV228" s="3" t="s">
        <v>569</v>
      </c>
      <c r="HW228" s="3" t="s">
        <v>660</v>
      </c>
      <c r="IR228" s="62">
        <f>H228*1</f>
        <v>0</v>
      </c>
      <c r="IS228" s="62">
        <f>H228*(1-1)</f>
        <v>0</v>
      </c>
    </row>
    <row r="229" spans="1:253" x14ac:dyDescent="0.25">
      <c r="A229" s="144" t="s">
        <v>50</v>
      </c>
      <c r="B229" s="107"/>
      <c r="C229" s="107"/>
      <c r="D229" s="107"/>
      <c r="E229" s="107"/>
      <c r="F229" s="3" t="s">
        <v>743</v>
      </c>
      <c r="G229" s="38">
        <v>23.684480000000001</v>
      </c>
      <c r="H229" s="38">
        <f>'Stavební rozpočet'!H222</f>
        <v>0</v>
      </c>
      <c r="M229" s="63"/>
      <c r="HV229" s="3" t="s">
        <v>569</v>
      </c>
      <c r="HW229" s="3" t="s">
        <v>660</v>
      </c>
      <c r="IR229" s="62">
        <f>H229*1</f>
        <v>0</v>
      </c>
      <c r="IS229" s="62">
        <f>H229*(1-1)</f>
        <v>0</v>
      </c>
    </row>
    <row r="230" spans="1:253" x14ac:dyDescent="0.25">
      <c r="A230" s="144" t="s">
        <v>50</v>
      </c>
      <c r="B230" s="107"/>
      <c r="C230" s="107"/>
      <c r="D230" s="107"/>
      <c r="E230" s="107"/>
      <c r="F230" s="3" t="s">
        <v>744</v>
      </c>
      <c r="G230" s="38">
        <v>45.41695</v>
      </c>
      <c r="H230" s="38">
        <f>'Stavební rozpočet'!H222</f>
        <v>0</v>
      </c>
      <c r="M230" s="63"/>
      <c r="HV230" s="3" t="s">
        <v>569</v>
      </c>
      <c r="HW230" s="3" t="s">
        <v>660</v>
      </c>
      <c r="IR230" s="62">
        <f>H230*1</f>
        <v>0</v>
      </c>
      <c r="IS230" s="62">
        <f>H230*(1-1)</f>
        <v>0</v>
      </c>
    </row>
    <row r="231" spans="1:253" x14ac:dyDescent="0.25">
      <c r="A231" s="144" t="s">
        <v>50</v>
      </c>
      <c r="B231" s="107"/>
      <c r="C231" s="107"/>
      <c r="D231" s="107"/>
      <c r="E231" s="107"/>
      <c r="F231" s="3" t="s">
        <v>745</v>
      </c>
      <c r="G231" s="38">
        <v>24.890599999999999</v>
      </c>
      <c r="H231" s="38">
        <f>'Stavební rozpočet'!H222</f>
        <v>0</v>
      </c>
      <c r="M231" s="63"/>
      <c r="HV231" s="3" t="s">
        <v>569</v>
      </c>
      <c r="HW231" s="3" t="s">
        <v>660</v>
      </c>
      <c r="IR231" s="62">
        <f>H231*1</f>
        <v>0</v>
      </c>
      <c r="IS231" s="62">
        <f>H231*(1-1)</f>
        <v>0</v>
      </c>
    </row>
    <row r="232" spans="1:253" x14ac:dyDescent="0.25">
      <c r="A232" s="60">
        <v>144</v>
      </c>
      <c r="B232" s="3" t="s">
        <v>51</v>
      </c>
      <c r="C232" s="3" t="s">
        <v>581</v>
      </c>
      <c r="D232" s="5" t="s">
        <v>582</v>
      </c>
      <c r="E232" s="3" t="s">
        <v>83</v>
      </c>
      <c r="F232" s="3" t="s">
        <v>746</v>
      </c>
      <c r="G232" s="38">
        <f>'Stavební rozpočet'!G223</f>
        <v>68.785179999999997</v>
      </c>
      <c r="H232" s="38">
        <f>'Stavební rozpočet'!H223</f>
        <v>0</v>
      </c>
      <c r="I232" s="38">
        <f>IR232*G232</f>
        <v>0</v>
      </c>
      <c r="J232" s="38">
        <f>IS232*G232</f>
        <v>0</v>
      </c>
      <c r="K232" s="38">
        <f>IR232*G232+IS232*G232</f>
        <v>0</v>
      </c>
      <c r="L232" s="38">
        <f>'Stavební rozpočet'!N223</f>
        <v>0</v>
      </c>
      <c r="M232" s="61">
        <f>L232*G232</f>
        <v>0</v>
      </c>
      <c r="HV232" s="3" t="s">
        <v>569</v>
      </c>
      <c r="HW232" s="3" t="s">
        <v>608</v>
      </c>
      <c r="IR232" s="62">
        <f>H232*0</f>
        <v>0</v>
      </c>
      <c r="IS232" s="62">
        <f>H232*(1-0)</f>
        <v>0</v>
      </c>
    </row>
    <row r="233" spans="1:253" x14ac:dyDescent="0.25">
      <c r="A233" s="144" t="s">
        <v>50</v>
      </c>
      <c r="B233" s="107"/>
      <c r="C233" s="107"/>
      <c r="D233" s="107"/>
      <c r="E233" s="107"/>
      <c r="F233" s="3" t="s">
        <v>743</v>
      </c>
      <c r="G233" s="38">
        <v>23.684480000000001</v>
      </c>
      <c r="H233" s="38">
        <f>'Stavební rozpočet'!H223</f>
        <v>0</v>
      </c>
      <c r="M233" s="63"/>
      <c r="HV233" s="3" t="s">
        <v>569</v>
      </c>
      <c r="HW233" s="3" t="s">
        <v>608</v>
      </c>
      <c r="IR233" s="62">
        <f>H233*0</f>
        <v>0</v>
      </c>
      <c r="IS233" s="62">
        <f>H233*(1-0)</f>
        <v>0</v>
      </c>
    </row>
    <row r="234" spans="1:253" x14ac:dyDescent="0.25">
      <c r="A234" s="144" t="s">
        <v>50</v>
      </c>
      <c r="B234" s="107"/>
      <c r="C234" s="107"/>
      <c r="D234" s="107"/>
      <c r="E234" s="107"/>
      <c r="F234" s="3" t="s">
        <v>745</v>
      </c>
      <c r="G234" s="38">
        <v>24.890599999999999</v>
      </c>
      <c r="H234" s="38">
        <f>'Stavební rozpočet'!H223</f>
        <v>0</v>
      </c>
      <c r="M234" s="63"/>
      <c r="HV234" s="3" t="s">
        <v>569</v>
      </c>
      <c r="HW234" s="3" t="s">
        <v>608</v>
      </c>
      <c r="IR234" s="62">
        <f>H234*0</f>
        <v>0</v>
      </c>
      <c r="IS234" s="62">
        <f>H234*(1-0)</f>
        <v>0</v>
      </c>
    </row>
    <row r="235" spans="1:253" x14ac:dyDescent="0.25">
      <c r="A235" s="60">
        <v>145</v>
      </c>
      <c r="B235" s="3" t="s">
        <v>51</v>
      </c>
      <c r="C235" s="3" t="s">
        <v>584</v>
      </c>
      <c r="D235" s="5" t="s">
        <v>585</v>
      </c>
      <c r="E235" s="3" t="s">
        <v>108</v>
      </c>
      <c r="F235" s="3" t="s">
        <v>747</v>
      </c>
      <c r="G235" s="38">
        <f>'Stavební rozpočet'!G224</f>
        <v>93.05</v>
      </c>
      <c r="H235" s="38">
        <f>'Stavební rozpočet'!H224</f>
        <v>0</v>
      </c>
      <c r="I235" s="38">
        <f>IR235*G235</f>
        <v>0</v>
      </c>
      <c r="J235" s="38">
        <f>IS235*G235</f>
        <v>0</v>
      </c>
      <c r="K235" s="38">
        <f>IR235*G235+IS235*G235</f>
        <v>0</v>
      </c>
      <c r="L235" s="38">
        <f>'Stavební rozpočet'!N224</f>
        <v>0</v>
      </c>
      <c r="M235" s="61">
        <f>L235*G235</f>
        <v>0</v>
      </c>
      <c r="HV235" s="3" t="s">
        <v>569</v>
      </c>
      <c r="HW235" s="3" t="s">
        <v>608</v>
      </c>
      <c r="IR235" s="62">
        <f>H235*0</f>
        <v>0</v>
      </c>
      <c r="IS235" s="62">
        <f>H235*(1-0)</f>
        <v>0</v>
      </c>
    </row>
    <row r="236" spans="1:253" ht="13.5" customHeight="1" x14ac:dyDescent="0.25">
      <c r="A236" s="41"/>
      <c r="D236" s="5" t="s">
        <v>586</v>
      </c>
      <c r="M236" s="63"/>
    </row>
    <row r="237" spans="1:253" x14ac:dyDescent="0.25">
      <c r="A237" s="60">
        <v>146</v>
      </c>
      <c r="B237" s="3" t="s">
        <v>51</v>
      </c>
      <c r="C237" s="3" t="s">
        <v>588</v>
      </c>
      <c r="D237" s="5" t="s">
        <v>589</v>
      </c>
      <c r="E237" s="3" t="s">
        <v>108</v>
      </c>
      <c r="F237" s="3" t="s">
        <v>747</v>
      </c>
      <c r="G237" s="38">
        <f>'Stavební rozpočet'!G226</f>
        <v>93.05</v>
      </c>
      <c r="H237" s="38">
        <f>'Stavební rozpočet'!H226</f>
        <v>0</v>
      </c>
      <c r="I237" s="38">
        <f>IR237*G237</f>
        <v>0</v>
      </c>
      <c r="J237" s="38">
        <f>IS237*G237</f>
        <v>0</v>
      </c>
      <c r="K237" s="38">
        <f>IR237*G237+IS237*G237</f>
        <v>0</v>
      </c>
      <c r="L237" s="38">
        <f>'Stavební rozpočet'!N226</f>
        <v>6.6E-4</v>
      </c>
      <c r="M237" s="61">
        <f>L237*G237</f>
        <v>6.1412999999999995E-2</v>
      </c>
      <c r="HV237" s="3" t="s">
        <v>569</v>
      </c>
      <c r="HW237" s="3" t="s">
        <v>608</v>
      </c>
      <c r="IR237" s="62">
        <f>H237*0.88491878</f>
        <v>0</v>
      </c>
      <c r="IS237" s="62">
        <f>H237*(1-0.88491878)</f>
        <v>0</v>
      </c>
    </row>
    <row r="238" spans="1:253" ht="13.5" customHeight="1" x14ac:dyDescent="0.25">
      <c r="A238" s="41"/>
      <c r="D238" s="5" t="s">
        <v>590</v>
      </c>
      <c r="M238" s="63"/>
    </row>
    <row r="239" spans="1:253" x14ac:dyDescent="0.25">
      <c r="A239" s="60">
        <v>147</v>
      </c>
      <c r="B239" s="3" t="s">
        <v>51</v>
      </c>
      <c r="C239" s="3" t="s">
        <v>592</v>
      </c>
      <c r="D239" s="5" t="s">
        <v>593</v>
      </c>
      <c r="E239" s="3" t="s">
        <v>166</v>
      </c>
      <c r="F239" s="3" t="s">
        <v>50</v>
      </c>
      <c r="G239" s="38">
        <f>'Stavební rozpočet'!G228</f>
        <v>3.8072499999999998</v>
      </c>
      <c r="H239" s="38">
        <f>'Stavební rozpočet'!H228</f>
        <v>0</v>
      </c>
      <c r="I239" s="38">
        <f>IR239*G239</f>
        <v>0</v>
      </c>
      <c r="J239" s="38">
        <f>IS239*G239</f>
        <v>0</v>
      </c>
      <c r="K239" s="38">
        <f>IR239*G239+IS239*G239</f>
        <v>0</v>
      </c>
      <c r="L239" s="38">
        <f>'Stavební rozpočet'!N228</f>
        <v>0</v>
      </c>
      <c r="M239" s="61">
        <f>L239*G239</f>
        <v>0</v>
      </c>
      <c r="HV239" s="3" t="s">
        <v>569</v>
      </c>
      <c r="HW239" s="3" t="s">
        <v>608</v>
      </c>
      <c r="IR239" s="62">
        <f>H239*0</f>
        <v>0</v>
      </c>
      <c r="IS239" s="62">
        <f>H239*(1-0)</f>
        <v>0</v>
      </c>
    </row>
    <row r="240" spans="1:253" x14ac:dyDescent="0.25">
      <c r="A240" s="58" t="s">
        <v>4</v>
      </c>
      <c r="B240" s="34" t="s">
        <v>51</v>
      </c>
      <c r="C240" s="34" t="s">
        <v>395</v>
      </c>
      <c r="D240" s="35" t="s">
        <v>594</v>
      </c>
      <c r="E240" s="34" t="s">
        <v>4</v>
      </c>
      <c r="F240" s="34" t="s">
        <v>4</v>
      </c>
      <c r="G240" s="13" t="s">
        <v>4</v>
      </c>
      <c r="H240" s="13" t="s">
        <v>4</v>
      </c>
      <c r="I240" s="1">
        <f>SUM(I241:I241)</f>
        <v>0</v>
      </c>
      <c r="J240" s="1">
        <f>SUM(J241:J241)</f>
        <v>0</v>
      </c>
      <c r="K240" s="1">
        <f>SUM(K241:K241)</f>
        <v>0</v>
      </c>
      <c r="L240" s="13" t="s">
        <v>4</v>
      </c>
      <c r="M240" s="59">
        <f>SUM(M241:M241)</f>
        <v>5.6640099999999999E-2</v>
      </c>
    </row>
    <row r="241" spans="1:253" x14ac:dyDescent="0.25">
      <c r="A241" s="64">
        <v>148</v>
      </c>
      <c r="B241" s="45" t="s">
        <v>51</v>
      </c>
      <c r="C241" s="45" t="s">
        <v>596</v>
      </c>
      <c r="D241" s="46" t="s">
        <v>597</v>
      </c>
      <c r="E241" s="45" t="s">
        <v>83</v>
      </c>
      <c r="F241" s="45" t="s">
        <v>679</v>
      </c>
      <c r="G241" s="47">
        <f>'Stavební rozpočet'!G230</f>
        <v>46.81</v>
      </c>
      <c r="H241" s="47">
        <f>'Stavební rozpočet'!H230</f>
        <v>0</v>
      </c>
      <c r="I241" s="47">
        <f>IR241*G241</f>
        <v>0</v>
      </c>
      <c r="J241" s="47">
        <f>IS241*G241</f>
        <v>0</v>
      </c>
      <c r="K241" s="47">
        <f>IR241*G241+IS241*G241</f>
        <v>0</v>
      </c>
      <c r="L241" s="47">
        <f>'Stavební rozpočet'!N230</f>
        <v>1.2099999999999999E-3</v>
      </c>
      <c r="M241" s="65">
        <f>L241*G241</f>
        <v>5.6640099999999999E-2</v>
      </c>
      <c r="HV241" s="3" t="s">
        <v>395</v>
      </c>
      <c r="HW241" s="3" t="s">
        <v>608</v>
      </c>
      <c r="IR241" s="62">
        <f>H241*0.326186725</f>
        <v>0</v>
      </c>
      <c r="IS241" s="62">
        <f>H241*(1-0.326186725)</f>
        <v>0</v>
      </c>
    </row>
    <row r="243" spans="1:253" x14ac:dyDescent="0.25">
      <c r="J243" s="4" t="s">
        <v>599</v>
      </c>
      <c r="K243" s="66">
        <f>K12+K16+K76+K94+K96+K104+K111+K125+K129+K135+K138+K156+K175+K198+K200+K202+K209+K216+K221+K240</f>
        <v>0</v>
      </c>
    </row>
  </sheetData>
  <sheetProtection password="E9AE" sheet="1" objects="1" scenarios="1"/>
  <mergeCells count="71">
    <mergeCell ref="A1:M1"/>
    <mergeCell ref="A2:C3"/>
    <mergeCell ref="A4:C5"/>
    <mergeCell ref="A6:C7"/>
    <mergeCell ref="A8:C9"/>
    <mergeCell ref="D2:D3"/>
    <mergeCell ref="D4:D5"/>
    <mergeCell ref="D6:D7"/>
    <mergeCell ref="D8:D9"/>
    <mergeCell ref="E2:E3"/>
    <mergeCell ref="E4:E5"/>
    <mergeCell ref="E6:E7"/>
    <mergeCell ref="E8:E9"/>
    <mergeCell ref="F2:F3"/>
    <mergeCell ref="F4:F5"/>
    <mergeCell ref="F6:F7"/>
    <mergeCell ref="H2:M3"/>
    <mergeCell ref="H4:M5"/>
    <mergeCell ref="H6:M7"/>
    <mergeCell ref="H8:M9"/>
    <mergeCell ref="A22:E22"/>
    <mergeCell ref="F8:F9"/>
    <mergeCell ref="G2:G3"/>
    <mergeCell ref="G4:G5"/>
    <mergeCell ref="G6:G7"/>
    <mergeCell ref="G8:G9"/>
    <mergeCell ref="A23:E23"/>
    <mergeCell ref="A24:E24"/>
    <mergeCell ref="A25:E25"/>
    <mergeCell ref="A26:E26"/>
    <mergeCell ref="A29:E29"/>
    <mergeCell ref="A30:E30"/>
    <mergeCell ref="A31:E31"/>
    <mergeCell ref="A32:E32"/>
    <mergeCell ref="A35:E35"/>
    <mergeCell ref="A36:E36"/>
    <mergeCell ref="A37:E37"/>
    <mergeCell ref="A38:E38"/>
    <mergeCell ref="A43:E43"/>
    <mergeCell ref="A45:E45"/>
    <mergeCell ref="A46:E46"/>
    <mergeCell ref="A49:E49"/>
    <mergeCell ref="A50:E50"/>
    <mergeCell ref="A51:E51"/>
    <mergeCell ref="A58:E58"/>
    <mergeCell ref="A59:E59"/>
    <mergeCell ref="A60:E60"/>
    <mergeCell ref="A99:E99"/>
    <mergeCell ref="A102:E102"/>
    <mergeCell ref="A108:E108"/>
    <mergeCell ref="A114:E114"/>
    <mergeCell ref="A115:E115"/>
    <mergeCell ref="A116:E116"/>
    <mergeCell ref="A117:E117"/>
    <mergeCell ref="A120:E120"/>
    <mergeCell ref="A123:E123"/>
    <mergeCell ref="A137:E137"/>
    <mergeCell ref="A160:E160"/>
    <mergeCell ref="A162:E162"/>
    <mergeCell ref="A163:E163"/>
    <mergeCell ref="A197:E197"/>
    <mergeCell ref="A223:E223"/>
    <mergeCell ref="A224:E224"/>
    <mergeCell ref="A225:E225"/>
    <mergeCell ref="A226:E226"/>
    <mergeCell ref="A228:E228"/>
    <mergeCell ref="A229:E229"/>
    <mergeCell ref="A230:E230"/>
    <mergeCell ref="A231:E231"/>
    <mergeCell ref="A233:E233"/>
    <mergeCell ref="A234:E234"/>
  </mergeCells>
  <pageMargins left="0.393999993801117" right="0.393999993801117" top="0.59100002050399802" bottom="0.59100002050399802" header="0" footer="0"/>
  <pageSetup fitToHeight="0" orientation="landscape"/>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37"/>
  <sheetViews>
    <sheetView workbookViewId="0">
      <selection activeCell="A37" sqref="A37:I37"/>
    </sheetView>
  </sheetViews>
  <sheetFormatPr defaultColWidth="12.140625" defaultRowHeight="15" customHeight="1" x14ac:dyDescent="0.25"/>
  <cols>
    <col min="1" max="1" width="9.140625" customWidth="1"/>
    <col min="2" max="2" width="12.85546875" customWidth="1"/>
    <col min="3" max="3" width="27.140625" customWidth="1"/>
    <col min="4" max="4" width="10" customWidth="1"/>
    <col min="5" max="5" width="14" customWidth="1"/>
    <col min="6" max="6" width="27.140625" customWidth="1"/>
    <col min="7" max="7" width="9.140625" customWidth="1"/>
    <col min="8" max="8" width="12.85546875" customWidth="1"/>
    <col min="9" max="9" width="27.140625" customWidth="1"/>
  </cols>
  <sheetData>
    <row r="1" spans="1:9" ht="54.75" customHeight="1" x14ac:dyDescent="0.25">
      <c r="A1" s="140" t="s">
        <v>756</v>
      </c>
      <c r="B1" s="141"/>
      <c r="C1" s="141"/>
      <c r="D1" s="141"/>
      <c r="E1" s="141"/>
      <c r="F1" s="141"/>
      <c r="G1" s="141"/>
      <c r="H1" s="141"/>
      <c r="I1" s="141"/>
    </row>
    <row r="2" spans="1:9" x14ac:dyDescent="0.25">
      <c r="A2" s="142" t="s">
        <v>1</v>
      </c>
      <c r="B2" s="143"/>
      <c r="C2" s="148" t="str">
        <f>'Stavební rozpočet'!D2</f>
        <v>KD K-trio-Oprava sociálních zařízení a šaten</v>
      </c>
      <c r="D2" s="149"/>
      <c r="E2" s="139" t="s">
        <v>5</v>
      </c>
      <c r="F2" s="139" t="str">
        <f>'Stavební rozpočet'!J2</f>
        <v> </v>
      </c>
      <c r="G2" s="143"/>
      <c r="H2" s="139" t="s">
        <v>757</v>
      </c>
      <c r="I2" s="145" t="s">
        <v>50</v>
      </c>
    </row>
    <row r="3" spans="1:9" ht="15" customHeight="1" x14ac:dyDescent="0.25">
      <c r="A3" s="144"/>
      <c r="B3" s="107"/>
      <c r="C3" s="150"/>
      <c r="D3" s="150"/>
      <c r="E3" s="107"/>
      <c r="F3" s="107"/>
      <c r="G3" s="107"/>
      <c r="H3" s="107"/>
      <c r="I3" s="146"/>
    </row>
    <row r="4" spans="1:9" x14ac:dyDescent="0.25">
      <c r="A4" s="137" t="s">
        <v>7</v>
      </c>
      <c r="B4" s="107"/>
      <c r="C4" s="106" t="str">
        <f>'Stavební rozpočet'!D4</f>
        <v xml:space="preserve"> </v>
      </c>
      <c r="D4" s="107"/>
      <c r="E4" s="106" t="s">
        <v>9</v>
      </c>
      <c r="F4" s="106" t="str">
        <f>'Stavební rozpočet'!J4</f>
        <v> </v>
      </c>
      <c r="G4" s="107"/>
      <c r="H4" s="106" t="s">
        <v>757</v>
      </c>
      <c r="I4" s="146" t="s">
        <v>50</v>
      </c>
    </row>
    <row r="5" spans="1:9" ht="15" customHeight="1" x14ac:dyDescent="0.25">
      <c r="A5" s="144"/>
      <c r="B5" s="107"/>
      <c r="C5" s="107"/>
      <c r="D5" s="107"/>
      <c r="E5" s="107"/>
      <c r="F5" s="107"/>
      <c r="G5" s="107"/>
      <c r="H5" s="107"/>
      <c r="I5" s="146"/>
    </row>
    <row r="6" spans="1:9" x14ac:dyDescent="0.25">
      <c r="A6" s="137" t="s">
        <v>10</v>
      </c>
      <c r="B6" s="107"/>
      <c r="C6" s="106" t="str">
        <f>'Stavební rozpočet'!D6</f>
        <v xml:space="preserve"> </v>
      </c>
      <c r="D6" s="107"/>
      <c r="E6" s="106" t="s">
        <v>12</v>
      </c>
      <c r="F6" s="106" t="str">
        <f>'Stavební rozpočet'!J6</f>
        <v> </v>
      </c>
      <c r="G6" s="107"/>
      <c r="H6" s="106" t="s">
        <v>757</v>
      </c>
      <c r="I6" s="146" t="s">
        <v>50</v>
      </c>
    </row>
    <row r="7" spans="1:9" ht="15" customHeight="1" x14ac:dyDescent="0.25">
      <c r="A7" s="144"/>
      <c r="B7" s="107"/>
      <c r="C7" s="107"/>
      <c r="D7" s="107"/>
      <c r="E7" s="107"/>
      <c r="F7" s="107"/>
      <c r="G7" s="107"/>
      <c r="H7" s="107"/>
      <c r="I7" s="146"/>
    </row>
    <row r="8" spans="1:9" x14ac:dyDescent="0.25">
      <c r="A8" s="137" t="s">
        <v>8</v>
      </c>
      <c r="B8" s="107"/>
      <c r="C8" s="106">
        <f>'Stavební rozpočet'!H4</f>
        <v>0</v>
      </c>
      <c r="D8" s="107"/>
      <c r="E8" s="106" t="s">
        <v>11</v>
      </c>
      <c r="F8" s="106" t="str">
        <f>'Stavební rozpočet'!H6</f>
        <v xml:space="preserve"> </v>
      </c>
      <c r="G8" s="107"/>
      <c r="H8" s="107" t="s">
        <v>758</v>
      </c>
      <c r="I8" s="147">
        <v>148</v>
      </c>
    </row>
    <row r="9" spans="1:9" x14ac:dyDescent="0.25">
      <c r="A9" s="144"/>
      <c r="B9" s="107"/>
      <c r="C9" s="107"/>
      <c r="D9" s="107"/>
      <c r="E9" s="107"/>
      <c r="F9" s="107"/>
      <c r="G9" s="107"/>
      <c r="H9" s="107"/>
      <c r="I9" s="146"/>
    </row>
    <row r="10" spans="1:9" x14ac:dyDescent="0.25">
      <c r="A10" s="137" t="s">
        <v>13</v>
      </c>
      <c r="B10" s="107"/>
      <c r="C10" s="106" t="str">
        <f>'Stavební rozpočet'!D8</f>
        <v xml:space="preserve"> </v>
      </c>
      <c r="D10" s="107"/>
      <c r="E10" s="106" t="s">
        <v>15</v>
      </c>
      <c r="F10" s="106" t="str">
        <f>'Stavební rozpočet'!J8</f>
        <v> </v>
      </c>
      <c r="G10" s="107"/>
      <c r="H10" s="107" t="s">
        <v>759</v>
      </c>
      <c r="I10" s="131">
        <f>'Stavební rozpočet'!H8</f>
        <v>0</v>
      </c>
    </row>
    <row r="11" spans="1:9" x14ac:dyDescent="0.25">
      <c r="A11" s="138"/>
      <c r="B11" s="136"/>
      <c r="C11" s="136"/>
      <c r="D11" s="136"/>
      <c r="E11" s="136"/>
      <c r="F11" s="136"/>
      <c r="G11" s="136"/>
      <c r="H11" s="136"/>
      <c r="I11" s="132"/>
    </row>
    <row r="12" spans="1:9" ht="23.25" x14ac:dyDescent="0.25">
      <c r="A12" s="133" t="s">
        <v>760</v>
      </c>
      <c r="B12" s="133"/>
      <c r="C12" s="133"/>
      <c r="D12" s="133"/>
      <c r="E12" s="133"/>
      <c r="F12" s="133"/>
      <c r="G12" s="133"/>
      <c r="H12" s="133"/>
      <c r="I12" s="133"/>
    </row>
    <row r="13" spans="1:9" ht="26.25" customHeight="1" x14ac:dyDescent="0.25">
      <c r="A13" s="77" t="s">
        <v>761</v>
      </c>
      <c r="B13" s="134" t="s">
        <v>762</v>
      </c>
      <c r="C13" s="135"/>
      <c r="D13" s="78" t="s">
        <v>763</v>
      </c>
      <c r="E13" s="134" t="s">
        <v>764</v>
      </c>
      <c r="F13" s="135"/>
      <c r="G13" s="78" t="s">
        <v>765</v>
      </c>
      <c r="H13" s="134" t="s">
        <v>766</v>
      </c>
      <c r="I13" s="135"/>
    </row>
    <row r="14" spans="1:9" ht="15.75" x14ac:dyDescent="0.25">
      <c r="A14" s="79" t="s">
        <v>767</v>
      </c>
      <c r="B14" s="80" t="s">
        <v>768</v>
      </c>
      <c r="C14" s="81">
        <f>SUM('Stavební rozpočet'!AB12:AB230)</f>
        <v>0</v>
      </c>
      <c r="D14" s="120" t="s">
        <v>769</v>
      </c>
      <c r="E14" s="121"/>
      <c r="F14" s="81">
        <f>VORN!I15</f>
        <v>0</v>
      </c>
      <c r="G14" s="120" t="s">
        <v>770</v>
      </c>
      <c r="H14" s="121"/>
      <c r="I14" s="81">
        <f>VORN!I21</f>
        <v>0</v>
      </c>
    </row>
    <row r="15" spans="1:9" ht="15.75" x14ac:dyDescent="0.25">
      <c r="A15" s="82" t="s">
        <v>50</v>
      </c>
      <c r="B15" s="80" t="s">
        <v>33</v>
      </c>
      <c r="C15" s="81">
        <f>SUM('Stavební rozpočet'!AC12:AC230)</f>
        <v>0</v>
      </c>
      <c r="D15" s="120" t="s">
        <v>771</v>
      </c>
      <c r="E15" s="121"/>
      <c r="F15" s="81">
        <f>VORN!I16</f>
        <v>0</v>
      </c>
      <c r="G15" s="120" t="s">
        <v>772</v>
      </c>
      <c r="H15" s="121"/>
      <c r="I15" s="81">
        <f>VORN!I22</f>
        <v>0</v>
      </c>
    </row>
    <row r="16" spans="1:9" ht="15.75" x14ac:dyDescent="0.25">
      <c r="A16" s="79" t="s">
        <v>773</v>
      </c>
      <c r="B16" s="80" t="s">
        <v>768</v>
      </c>
      <c r="C16" s="81">
        <f>SUM('Stavební rozpočet'!AD12:AD230)</f>
        <v>0</v>
      </c>
      <c r="D16" s="120" t="s">
        <v>774</v>
      </c>
      <c r="E16" s="121"/>
      <c r="F16" s="81">
        <f>VORN!I17</f>
        <v>0</v>
      </c>
      <c r="G16" s="120" t="s">
        <v>775</v>
      </c>
      <c r="H16" s="121"/>
      <c r="I16" s="81">
        <f>VORN!I23</f>
        <v>0</v>
      </c>
    </row>
    <row r="17" spans="1:9" ht="15.75" x14ac:dyDescent="0.25">
      <c r="A17" s="82" t="s">
        <v>50</v>
      </c>
      <c r="B17" s="80" t="s">
        <v>33</v>
      </c>
      <c r="C17" s="81">
        <f>SUM('Stavební rozpočet'!AE12:AE230)</f>
        <v>0</v>
      </c>
      <c r="D17" s="120" t="s">
        <v>50</v>
      </c>
      <c r="E17" s="121"/>
      <c r="F17" s="83" t="s">
        <v>50</v>
      </c>
      <c r="G17" s="120" t="s">
        <v>776</v>
      </c>
      <c r="H17" s="121"/>
      <c r="I17" s="81">
        <f>VORN!I24</f>
        <v>0</v>
      </c>
    </row>
    <row r="18" spans="1:9" ht="15.75" x14ac:dyDescent="0.25">
      <c r="A18" s="79" t="s">
        <v>777</v>
      </c>
      <c r="B18" s="80" t="s">
        <v>768</v>
      </c>
      <c r="C18" s="81">
        <f>SUM('Stavební rozpočet'!AF12:AF230)</f>
        <v>0</v>
      </c>
      <c r="D18" s="120" t="s">
        <v>50</v>
      </c>
      <c r="E18" s="121"/>
      <c r="F18" s="83" t="s">
        <v>50</v>
      </c>
      <c r="G18" s="120" t="s">
        <v>778</v>
      </c>
      <c r="H18" s="121"/>
      <c r="I18" s="81">
        <f>VORN!I25</f>
        <v>0</v>
      </c>
    </row>
    <row r="19" spans="1:9" ht="15.75" x14ac:dyDescent="0.25">
      <c r="A19" s="82" t="s">
        <v>50</v>
      </c>
      <c r="B19" s="80" t="s">
        <v>33</v>
      </c>
      <c r="C19" s="81">
        <f>SUM('Stavební rozpočet'!AG12:AG230)</f>
        <v>0</v>
      </c>
      <c r="D19" s="120" t="s">
        <v>50</v>
      </c>
      <c r="E19" s="121"/>
      <c r="F19" s="83" t="s">
        <v>50</v>
      </c>
      <c r="G19" s="120" t="s">
        <v>779</v>
      </c>
      <c r="H19" s="121"/>
      <c r="I19" s="81">
        <f>VORN!I26</f>
        <v>0</v>
      </c>
    </row>
    <row r="20" spans="1:9" ht="15.75" x14ac:dyDescent="0.25">
      <c r="A20" s="126" t="s">
        <v>780</v>
      </c>
      <c r="B20" s="127"/>
      <c r="C20" s="81">
        <f>SUM('Stavební rozpočet'!AH12:AH230)</f>
        <v>0</v>
      </c>
      <c r="D20" s="120" t="s">
        <v>50</v>
      </c>
      <c r="E20" s="121"/>
      <c r="F20" s="83" t="s">
        <v>50</v>
      </c>
      <c r="G20" s="120" t="s">
        <v>50</v>
      </c>
      <c r="H20" s="121"/>
      <c r="I20" s="83" t="s">
        <v>50</v>
      </c>
    </row>
    <row r="21" spans="1:9" ht="15.75" x14ac:dyDescent="0.25">
      <c r="A21" s="128" t="s">
        <v>781</v>
      </c>
      <c r="B21" s="129"/>
      <c r="C21" s="84">
        <f>SUM('Stavební rozpočet'!Z12:Z230)</f>
        <v>0</v>
      </c>
      <c r="D21" s="122" t="s">
        <v>50</v>
      </c>
      <c r="E21" s="123"/>
      <c r="F21" s="85" t="s">
        <v>50</v>
      </c>
      <c r="G21" s="122" t="s">
        <v>50</v>
      </c>
      <c r="H21" s="123"/>
      <c r="I21" s="85" t="s">
        <v>50</v>
      </c>
    </row>
    <row r="22" spans="1:9" ht="16.5" customHeight="1" x14ac:dyDescent="0.25">
      <c r="A22" s="130" t="s">
        <v>782</v>
      </c>
      <c r="B22" s="125"/>
      <c r="C22" s="86">
        <f>SUM(C14:C21)</f>
        <v>0</v>
      </c>
      <c r="D22" s="124" t="s">
        <v>783</v>
      </c>
      <c r="E22" s="125"/>
      <c r="F22" s="86">
        <f>SUM(F14:F21)</f>
        <v>0</v>
      </c>
      <c r="G22" s="124" t="s">
        <v>784</v>
      </c>
      <c r="H22" s="125"/>
      <c r="I22" s="86">
        <f>SUM(I14:I21)</f>
        <v>0</v>
      </c>
    </row>
    <row r="23" spans="1:9" ht="15.75" x14ac:dyDescent="0.25">
      <c r="D23" s="126" t="s">
        <v>785</v>
      </c>
      <c r="E23" s="127"/>
      <c r="F23" s="81">
        <f>'Krycí list rozpočtu (SO 01)'!F22+'Krycí list rozpočtu (SO 02)'!F22</f>
        <v>0</v>
      </c>
      <c r="G23" s="193" t="s">
        <v>786</v>
      </c>
      <c r="H23" s="127"/>
      <c r="I23" s="81">
        <f>'Krycí list rozpočtu (SO 01)'!I22+'Krycí list rozpočtu (SO 02)'!I22</f>
        <v>0</v>
      </c>
    </row>
    <row r="24" spans="1:9" ht="15.75" x14ac:dyDescent="0.25">
      <c r="G24" s="126" t="s">
        <v>787</v>
      </c>
      <c r="H24" s="127"/>
      <c r="I24" s="81">
        <f>vorn_sum</f>
        <v>0</v>
      </c>
    </row>
    <row r="25" spans="1:9" ht="15.75" x14ac:dyDescent="0.25">
      <c r="G25" s="126" t="s">
        <v>788</v>
      </c>
      <c r="H25" s="127"/>
      <c r="I25" s="81">
        <f>'Krycí list rozpočtu (SO 01)'!I23+'Krycí list rozpočtu (SO 02)'!I23</f>
        <v>0</v>
      </c>
    </row>
    <row r="27" spans="1:9" ht="15.75" x14ac:dyDescent="0.25">
      <c r="A27" s="118" t="s">
        <v>789</v>
      </c>
      <c r="B27" s="111"/>
      <c r="C27" s="87">
        <f>SUM('Stavební rozpočet'!AJ12:AJ230)</f>
        <v>0</v>
      </c>
    </row>
    <row r="28" spans="1:9" ht="15.75" x14ac:dyDescent="0.25">
      <c r="A28" s="119" t="s">
        <v>790</v>
      </c>
      <c r="B28" s="113"/>
      <c r="C28" s="88">
        <f>SUM('Stavební rozpočet'!AK12:AK230)</f>
        <v>0</v>
      </c>
      <c r="D28" s="110" t="s">
        <v>791</v>
      </c>
      <c r="E28" s="111"/>
      <c r="F28" s="87">
        <f>ROUND(C28*(12/100),2)</f>
        <v>0</v>
      </c>
      <c r="G28" s="110" t="s">
        <v>792</v>
      </c>
      <c r="H28" s="111"/>
      <c r="I28" s="87">
        <f>SUM(C27:C29)</f>
        <v>0</v>
      </c>
    </row>
    <row r="29" spans="1:9" ht="15.75" x14ac:dyDescent="0.25">
      <c r="A29" s="119" t="s">
        <v>793</v>
      </c>
      <c r="B29" s="113"/>
      <c r="C29" s="88">
        <f>SUM('Stavební rozpočet'!AL12:AL230)+(F22+I22+F23+I23+I24+I25)</f>
        <v>0</v>
      </c>
      <c r="D29" s="112" t="s">
        <v>794</v>
      </c>
      <c r="E29" s="113"/>
      <c r="F29" s="88">
        <f>ROUND(C29*(21/100),2)</f>
        <v>0</v>
      </c>
      <c r="G29" s="112" t="s">
        <v>795</v>
      </c>
      <c r="H29" s="113"/>
      <c r="I29" s="88">
        <f>SUM(F28:F29)+I28</f>
        <v>0</v>
      </c>
    </row>
    <row r="31" spans="1:9" x14ac:dyDescent="0.25">
      <c r="A31" s="114" t="s">
        <v>796</v>
      </c>
      <c r="B31" s="115"/>
      <c r="C31" s="116"/>
      <c r="D31" s="117" t="s">
        <v>797</v>
      </c>
      <c r="E31" s="115"/>
      <c r="F31" s="116"/>
      <c r="G31" s="117" t="s">
        <v>798</v>
      </c>
      <c r="H31" s="115"/>
      <c r="I31" s="116"/>
    </row>
    <row r="32" spans="1:9" x14ac:dyDescent="0.25">
      <c r="A32" s="108" t="s">
        <v>50</v>
      </c>
      <c r="B32" s="101"/>
      <c r="C32" s="102"/>
      <c r="D32" s="100" t="s">
        <v>50</v>
      </c>
      <c r="E32" s="101"/>
      <c r="F32" s="102"/>
      <c r="G32" s="100" t="s">
        <v>50</v>
      </c>
      <c r="H32" s="101"/>
      <c r="I32" s="102"/>
    </row>
    <row r="33" spans="1:9" x14ac:dyDescent="0.25">
      <c r="A33" s="108" t="s">
        <v>50</v>
      </c>
      <c r="B33" s="101"/>
      <c r="C33" s="102"/>
      <c r="D33" s="100" t="s">
        <v>50</v>
      </c>
      <c r="E33" s="101"/>
      <c r="F33" s="102"/>
      <c r="G33" s="100" t="s">
        <v>50</v>
      </c>
      <c r="H33" s="101"/>
      <c r="I33" s="102"/>
    </row>
    <row r="34" spans="1:9" x14ac:dyDescent="0.25">
      <c r="A34" s="108" t="s">
        <v>50</v>
      </c>
      <c r="B34" s="101"/>
      <c r="C34" s="102"/>
      <c r="D34" s="100" t="s">
        <v>50</v>
      </c>
      <c r="E34" s="101"/>
      <c r="F34" s="102"/>
      <c r="G34" s="100" t="s">
        <v>50</v>
      </c>
      <c r="H34" s="101"/>
      <c r="I34" s="102"/>
    </row>
    <row r="35" spans="1:9" x14ac:dyDescent="0.25">
      <c r="A35" s="109" t="s">
        <v>799</v>
      </c>
      <c r="B35" s="104"/>
      <c r="C35" s="105"/>
      <c r="D35" s="103" t="s">
        <v>799</v>
      </c>
      <c r="E35" s="104"/>
      <c r="F35" s="105"/>
      <c r="G35" s="103" t="s">
        <v>799</v>
      </c>
      <c r="H35" s="104"/>
      <c r="I35" s="105"/>
    </row>
    <row r="36" spans="1:9" x14ac:dyDescent="0.25">
      <c r="A36" s="89" t="s">
        <v>600</v>
      </c>
    </row>
    <row r="37" spans="1:9" ht="12.75" customHeight="1" x14ac:dyDescent="0.25">
      <c r="A37" s="106" t="s">
        <v>50</v>
      </c>
      <c r="B37" s="107"/>
      <c r="C37" s="107"/>
      <c r="D37" s="107"/>
      <c r="E37" s="107"/>
      <c r="F37" s="107"/>
      <c r="G37" s="107"/>
      <c r="H37" s="107"/>
      <c r="I37" s="107"/>
    </row>
  </sheetData>
  <mergeCells count="83">
    <mergeCell ref="A1:I1"/>
    <mergeCell ref="A2:B3"/>
    <mergeCell ref="A4:B5"/>
    <mergeCell ref="A6:B7"/>
    <mergeCell ref="A8:B9"/>
    <mergeCell ref="F2:G3"/>
    <mergeCell ref="F4:G5"/>
    <mergeCell ref="F6:G7"/>
    <mergeCell ref="F8:G9"/>
    <mergeCell ref="I2:I3"/>
    <mergeCell ref="I4:I5"/>
    <mergeCell ref="I6:I7"/>
    <mergeCell ref="I8:I9"/>
    <mergeCell ref="C2:D3"/>
    <mergeCell ref="C4:D5"/>
    <mergeCell ref="C6:D7"/>
    <mergeCell ref="C8:D9"/>
    <mergeCell ref="C10:D11"/>
    <mergeCell ref="E2:E3"/>
    <mergeCell ref="E4:E5"/>
    <mergeCell ref="E6:E7"/>
    <mergeCell ref="E8:E9"/>
    <mergeCell ref="E10:E11"/>
    <mergeCell ref="H2:H3"/>
    <mergeCell ref="H4:H5"/>
    <mergeCell ref="H6:H7"/>
    <mergeCell ref="H8:H9"/>
    <mergeCell ref="H10:H11"/>
    <mergeCell ref="I10:I11"/>
    <mergeCell ref="A12:I12"/>
    <mergeCell ref="B13:C13"/>
    <mergeCell ref="E13:F13"/>
    <mergeCell ref="H13:I13"/>
    <mergeCell ref="F10:G11"/>
    <mergeCell ref="A10:B11"/>
    <mergeCell ref="A20:B20"/>
    <mergeCell ref="A21:B21"/>
    <mergeCell ref="A22:B22"/>
    <mergeCell ref="D14:E14"/>
    <mergeCell ref="D15:E15"/>
    <mergeCell ref="D16:E16"/>
    <mergeCell ref="D17:E17"/>
    <mergeCell ref="D18:E18"/>
    <mergeCell ref="D19:E19"/>
    <mergeCell ref="D20:E20"/>
    <mergeCell ref="D21:E21"/>
    <mergeCell ref="D22:E22"/>
    <mergeCell ref="D23:E23"/>
    <mergeCell ref="G14:H14"/>
    <mergeCell ref="G15:H15"/>
    <mergeCell ref="G16:H16"/>
    <mergeCell ref="G17:H17"/>
    <mergeCell ref="G18:H18"/>
    <mergeCell ref="G19:H19"/>
    <mergeCell ref="G20:H20"/>
    <mergeCell ref="G21:H21"/>
    <mergeCell ref="G22:H22"/>
    <mergeCell ref="G23:H23"/>
    <mergeCell ref="G24:H24"/>
    <mergeCell ref="G25:H25"/>
    <mergeCell ref="A27:B27"/>
    <mergeCell ref="A28:B28"/>
    <mergeCell ref="A29:B29"/>
    <mergeCell ref="D28:E28"/>
    <mergeCell ref="D29:E29"/>
    <mergeCell ref="G28:H28"/>
    <mergeCell ref="G29:H29"/>
    <mergeCell ref="A37:I37"/>
    <mergeCell ref="G31:I31"/>
    <mergeCell ref="G32:I32"/>
    <mergeCell ref="G33:I33"/>
    <mergeCell ref="G34:I34"/>
    <mergeCell ref="G35:I35"/>
    <mergeCell ref="D31:F31"/>
    <mergeCell ref="D32:F32"/>
    <mergeCell ref="D33:F33"/>
    <mergeCell ref="D34:F34"/>
    <mergeCell ref="D35:F35"/>
    <mergeCell ref="A31:C31"/>
    <mergeCell ref="A32:C32"/>
    <mergeCell ref="A33:C33"/>
    <mergeCell ref="A34:C34"/>
    <mergeCell ref="A35:C35"/>
  </mergeCells>
  <pageMargins left="0.393999993801117" right="0.393999993801117" top="0.59100002050399802" bottom="0.59100002050399802" header="0" footer="0"/>
  <pageSetup orientation="landscape"/>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I36"/>
  <sheetViews>
    <sheetView workbookViewId="0">
      <selection activeCell="A36" sqref="A36:E36"/>
    </sheetView>
  </sheetViews>
  <sheetFormatPr defaultColWidth="12.140625" defaultRowHeight="15" customHeight="1" x14ac:dyDescent="0.25"/>
  <cols>
    <col min="1" max="1" width="9.140625" customWidth="1"/>
    <col min="2" max="2" width="12.85546875" customWidth="1"/>
    <col min="3" max="3" width="22.85546875" customWidth="1"/>
    <col min="4" max="4" width="10" customWidth="1"/>
    <col min="5" max="5" width="14" customWidth="1"/>
    <col min="6" max="6" width="22.85546875" customWidth="1"/>
    <col min="7" max="7" width="9.140625" customWidth="1"/>
    <col min="8" max="8" width="17.140625" customWidth="1"/>
    <col min="9" max="9" width="22.85546875" customWidth="1"/>
  </cols>
  <sheetData>
    <row r="1" spans="1:9" ht="54.75" customHeight="1" x14ac:dyDescent="0.25">
      <c r="A1" s="140" t="s">
        <v>800</v>
      </c>
      <c r="B1" s="141"/>
      <c r="C1" s="141"/>
      <c r="D1" s="141"/>
      <c r="E1" s="141"/>
      <c r="F1" s="141"/>
      <c r="G1" s="141"/>
      <c r="H1" s="141"/>
      <c r="I1" s="141"/>
    </row>
    <row r="2" spans="1:9" x14ac:dyDescent="0.25">
      <c r="A2" s="142" t="s">
        <v>1</v>
      </c>
      <c r="B2" s="143"/>
      <c r="C2" s="148" t="str">
        <f>'Stavební rozpočet'!D2</f>
        <v>KD K-trio-Oprava sociálních zařízení a šaten</v>
      </c>
      <c r="D2" s="149"/>
      <c r="E2" s="139" t="s">
        <v>5</v>
      </c>
      <c r="F2" s="139" t="str">
        <f>'Stavební rozpočet'!J2</f>
        <v> </v>
      </c>
      <c r="G2" s="143"/>
      <c r="H2" s="139" t="s">
        <v>757</v>
      </c>
      <c r="I2" s="145" t="s">
        <v>50</v>
      </c>
    </row>
    <row r="3" spans="1:9" ht="15" customHeight="1" x14ac:dyDescent="0.25">
      <c r="A3" s="144"/>
      <c r="B3" s="107"/>
      <c r="C3" s="150"/>
      <c r="D3" s="150"/>
      <c r="E3" s="107"/>
      <c r="F3" s="107"/>
      <c r="G3" s="107"/>
      <c r="H3" s="107"/>
      <c r="I3" s="146"/>
    </row>
    <row r="4" spans="1:9" x14ac:dyDescent="0.25">
      <c r="A4" s="137" t="s">
        <v>7</v>
      </c>
      <c r="B4" s="107"/>
      <c r="C4" s="106" t="str">
        <f>'Stavební rozpočet'!D4</f>
        <v xml:space="preserve"> </v>
      </c>
      <c r="D4" s="107"/>
      <c r="E4" s="106" t="s">
        <v>9</v>
      </c>
      <c r="F4" s="106" t="str">
        <f>'Stavební rozpočet'!J4</f>
        <v> </v>
      </c>
      <c r="G4" s="107"/>
      <c r="H4" s="106" t="s">
        <v>757</v>
      </c>
      <c r="I4" s="146" t="s">
        <v>50</v>
      </c>
    </row>
    <row r="5" spans="1:9" ht="15" customHeight="1" x14ac:dyDescent="0.25">
      <c r="A5" s="144"/>
      <c r="B5" s="107"/>
      <c r="C5" s="107"/>
      <c r="D5" s="107"/>
      <c r="E5" s="107"/>
      <c r="F5" s="107"/>
      <c r="G5" s="107"/>
      <c r="H5" s="107"/>
      <c r="I5" s="146"/>
    </row>
    <row r="6" spans="1:9" x14ac:dyDescent="0.25">
      <c r="A6" s="137" t="s">
        <v>10</v>
      </c>
      <c r="B6" s="107"/>
      <c r="C6" s="106" t="str">
        <f>'Stavební rozpočet'!D6</f>
        <v xml:space="preserve"> </v>
      </c>
      <c r="D6" s="107"/>
      <c r="E6" s="106" t="s">
        <v>12</v>
      </c>
      <c r="F6" s="106" t="str">
        <f>'Stavební rozpočet'!J6</f>
        <v> </v>
      </c>
      <c r="G6" s="107"/>
      <c r="H6" s="106" t="s">
        <v>757</v>
      </c>
      <c r="I6" s="146" t="s">
        <v>50</v>
      </c>
    </row>
    <row r="7" spans="1:9" ht="15" customHeight="1" x14ac:dyDescent="0.25">
      <c r="A7" s="144"/>
      <c r="B7" s="107"/>
      <c r="C7" s="107"/>
      <c r="D7" s="107"/>
      <c r="E7" s="107"/>
      <c r="F7" s="107"/>
      <c r="G7" s="107"/>
      <c r="H7" s="107"/>
      <c r="I7" s="146"/>
    </row>
    <row r="8" spans="1:9" x14ac:dyDescent="0.25">
      <c r="A8" s="137" t="s">
        <v>8</v>
      </c>
      <c r="B8" s="107"/>
      <c r="C8" s="106">
        <f>'Stavební rozpočet'!H4</f>
        <v>0</v>
      </c>
      <c r="D8" s="107"/>
      <c r="E8" s="106" t="s">
        <v>11</v>
      </c>
      <c r="F8" s="106" t="str">
        <f>'Stavební rozpočet'!H6</f>
        <v xml:space="preserve"> </v>
      </c>
      <c r="G8" s="107"/>
      <c r="H8" s="107" t="s">
        <v>758</v>
      </c>
      <c r="I8" s="147">
        <v>148</v>
      </c>
    </row>
    <row r="9" spans="1:9" x14ac:dyDescent="0.25">
      <c r="A9" s="144"/>
      <c r="B9" s="107"/>
      <c r="C9" s="107"/>
      <c r="D9" s="107"/>
      <c r="E9" s="107"/>
      <c r="F9" s="107"/>
      <c r="G9" s="107"/>
      <c r="H9" s="107"/>
      <c r="I9" s="146"/>
    </row>
    <row r="10" spans="1:9" x14ac:dyDescent="0.25">
      <c r="A10" s="137" t="s">
        <v>13</v>
      </c>
      <c r="B10" s="107"/>
      <c r="C10" s="106" t="str">
        <f>'Stavební rozpočet'!D8</f>
        <v xml:space="preserve"> </v>
      </c>
      <c r="D10" s="107"/>
      <c r="E10" s="106" t="s">
        <v>15</v>
      </c>
      <c r="F10" s="106" t="str">
        <f>'Stavební rozpočet'!J8</f>
        <v> </v>
      </c>
      <c r="G10" s="107"/>
      <c r="H10" s="107" t="s">
        <v>759</v>
      </c>
      <c r="I10" s="131">
        <f>'Stavební rozpočet'!H8</f>
        <v>0</v>
      </c>
    </row>
    <row r="11" spans="1:9" x14ac:dyDescent="0.25">
      <c r="A11" s="138"/>
      <c r="B11" s="136"/>
      <c r="C11" s="136"/>
      <c r="D11" s="136"/>
      <c r="E11" s="136"/>
      <c r="F11" s="136"/>
      <c r="G11" s="136"/>
      <c r="H11" s="136"/>
      <c r="I11" s="132"/>
    </row>
    <row r="13" spans="1:9" ht="15.75" x14ac:dyDescent="0.25">
      <c r="A13" s="160" t="s">
        <v>801</v>
      </c>
      <c r="B13" s="160"/>
      <c r="C13" s="160"/>
      <c r="D13" s="160"/>
      <c r="E13" s="160"/>
    </row>
    <row r="14" spans="1:9" x14ac:dyDescent="0.25">
      <c r="A14" s="161" t="s">
        <v>802</v>
      </c>
      <c r="B14" s="162"/>
      <c r="C14" s="162"/>
      <c r="D14" s="162"/>
      <c r="E14" s="163"/>
      <c r="F14" s="90" t="s">
        <v>803</v>
      </c>
      <c r="G14" s="90" t="s">
        <v>804</v>
      </c>
      <c r="H14" s="90" t="s">
        <v>805</v>
      </c>
      <c r="I14" s="90" t="s">
        <v>803</v>
      </c>
    </row>
    <row r="15" spans="1:9" x14ac:dyDescent="0.25">
      <c r="A15" s="167" t="s">
        <v>769</v>
      </c>
      <c r="B15" s="168"/>
      <c r="C15" s="168"/>
      <c r="D15" s="168"/>
      <c r="E15" s="169"/>
      <c r="F15" s="91">
        <v>0</v>
      </c>
      <c r="G15" s="92" t="s">
        <v>50</v>
      </c>
      <c r="H15" s="92" t="s">
        <v>50</v>
      </c>
      <c r="I15" s="91">
        <f>F15</f>
        <v>0</v>
      </c>
    </row>
    <row r="16" spans="1:9" x14ac:dyDescent="0.25">
      <c r="A16" s="167" t="s">
        <v>771</v>
      </c>
      <c r="B16" s="168"/>
      <c r="C16" s="168"/>
      <c r="D16" s="168"/>
      <c r="E16" s="169"/>
      <c r="F16" s="91">
        <v>0</v>
      </c>
      <c r="G16" s="92" t="s">
        <v>50</v>
      </c>
      <c r="H16" s="92" t="s">
        <v>50</v>
      </c>
      <c r="I16" s="91">
        <f>F16</f>
        <v>0</v>
      </c>
    </row>
    <row r="17" spans="1:9" x14ac:dyDescent="0.25">
      <c r="A17" s="164" t="s">
        <v>774</v>
      </c>
      <c r="B17" s="165"/>
      <c r="C17" s="165"/>
      <c r="D17" s="165"/>
      <c r="E17" s="166"/>
      <c r="F17" s="93">
        <v>0</v>
      </c>
      <c r="G17" s="94" t="s">
        <v>50</v>
      </c>
      <c r="H17" s="94" t="s">
        <v>50</v>
      </c>
      <c r="I17" s="93">
        <f>F17</f>
        <v>0</v>
      </c>
    </row>
    <row r="18" spans="1:9" x14ac:dyDescent="0.25">
      <c r="A18" s="151" t="s">
        <v>806</v>
      </c>
      <c r="B18" s="152"/>
      <c r="C18" s="152"/>
      <c r="D18" s="152"/>
      <c r="E18" s="153"/>
      <c r="F18" s="95" t="s">
        <v>50</v>
      </c>
      <c r="G18" s="96" t="s">
        <v>50</v>
      </c>
      <c r="H18" s="96" t="s">
        <v>50</v>
      </c>
      <c r="I18" s="97">
        <f>SUM(I15:I17)</f>
        <v>0</v>
      </c>
    </row>
    <row r="20" spans="1:9" x14ac:dyDescent="0.25">
      <c r="A20" s="161" t="s">
        <v>766</v>
      </c>
      <c r="B20" s="162"/>
      <c r="C20" s="162"/>
      <c r="D20" s="162"/>
      <c r="E20" s="163"/>
      <c r="F20" s="90" t="s">
        <v>803</v>
      </c>
      <c r="G20" s="90" t="s">
        <v>804</v>
      </c>
      <c r="H20" s="90" t="s">
        <v>805</v>
      </c>
      <c r="I20" s="90" t="s">
        <v>803</v>
      </c>
    </row>
    <row r="21" spans="1:9" x14ac:dyDescent="0.25">
      <c r="A21" s="167" t="s">
        <v>770</v>
      </c>
      <c r="B21" s="168"/>
      <c r="C21" s="168"/>
      <c r="D21" s="168"/>
      <c r="E21" s="169"/>
      <c r="F21" s="91">
        <v>0</v>
      </c>
      <c r="G21" s="92" t="s">
        <v>50</v>
      </c>
      <c r="H21" s="92" t="s">
        <v>50</v>
      </c>
      <c r="I21" s="91">
        <f t="shared" ref="I21:I26" si="0">F21</f>
        <v>0</v>
      </c>
    </row>
    <row r="22" spans="1:9" x14ac:dyDescent="0.25">
      <c r="A22" s="167" t="s">
        <v>772</v>
      </c>
      <c r="B22" s="168"/>
      <c r="C22" s="168"/>
      <c r="D22" s="168"/>
      <c r="E22" s="169"/>
      <c r="F22" s="91">
        <v>0</v>
      </c>
      <c r="G22" s="92" t="s">
        <v>50</v>
      </c>
      <c r="H22" s="92" t="s">
        <v>50</v>
      </c>
      <c r="I22" s="91">
        <f t="shared" si="0"/>
        <v>0</v>
      </c>
    </row>
    <row r="23" spans="1:9" x14ac:dyDescent="0.25">
      <c r="A23" s="167" t="s">
        <v>775</v>
      </c>
      <c r="B23" s="168"/>
      <c r="C23" s="168"/>
      <c r="D23" s="168"/>
      <c r="E23" s="169"/>
      <c r="F23" s="91">
        <v>0</v>
      </c>
      <c r="G23" s="92" t="s">
        <v>50</v>
      </c>
      <c r="H23" s="92" t="s">
        <v>50</v>
      </c>
      <c r="I23" s="91">
        <f t="shared" si="0"/>
        <v>0</v>
      </c>
    </row>
    <row r="24" spans="1:9" x14ac:dyDescent="0.25">
      <c r="A24" s="167" t="s">
        <v>776</v>
      </c>
      <c r="B24" s="168"/>
      <c r="C24" s="168"/>
      <c r="D24" s="168"/>
      <c r="E24" s="169"/>
      <c r="F24" s="91">
        <v>0</v>
      </c>
      <c r="G24" s="92" t="s">
        <v>50</v>
      </c>
      <c r="H24" s="92" t="s">
        <v>50</v>
      </c>
      <c r="I24" s="91">
        <f t="shared" si="0"/>
        <v>0</v>
      </c>
    </row>
    <row r="25" spans="1:9" x14ac:dyDescent="0.25">
      <c r="A25" s="167" t="s">
        <v>778</v>
      </c>
      <c r="B25" s="168"/>
      <c r="C25" s="168"/>
      <c r="D25" s="168"/>
      <c r="E25" s="169"/>
      <c r="F25" s="91">
        <v>0</v>
      </c>
      <c r="G25" s="92" t="s">
        <v>50</v>
      </c>
      <c r="H25" s="92" t="s">
        <v>50</v>
      </c>
      <c r="I25" s="91">
        <f t="shared" si="0"/>
        <v>0</v>
      </c>
    </row>
    <row r="26" spans="1:9" x14ac:dyDescent="0.25">
      <c r="A26" s="164" t="s">
        <v>779</v>
      </c>
      <c r="B26" s="165"/>
      <c r="C26" s="165"/>
      <c r="D26" s="165"/>
      <c r="E26" s="166"/>
      <c r="F26" s="93">
        <v>0</v>
      </c>
      <c r="G26" s="94" t="s">
        <v>50</v>
      </c>
      <c r="H26" s="94" t="s">
        <v>50</v>
      </c>
      <c r="I26" s="93">
        <f t="shared" si="0"/>
        <v>0</v>
      </c>
    </row>
    <row r="27" spans="1:9" x14ac:dyDescent="0.25">
      <c r="A27" s="151" t="s">
        <v>807</v>
      </c>
      <c r="B27" s="152"/>
      <c r="C27" s="152"/>
      <c r="D27" s="152"/>
      <c r="E27" s="153"/>
      <c r="F27" s="95" t="s">
        <v>50</v>
      </c>
      <c r="G27" s="96" t="s">
        <v>50</v>
      </c>
      <c r="H27" s="96" t="s">
        <v>50</v>
      </c>
      <c r="I27" s="97">
        <f>SUM(I21:I26)</f>
        <v>0</v>
      </c>
    </row>
    <row r="29" spans="1:9" ht="15.75" x14ac:dyDescent="0.25">
      <c r="A29" s="154" t="s">
        <v>808</v>
      </c>
      <c r="B29" s="155"/>
      <c r="C29" s="155"/>
      <c r="D29" s="155"/>
      <c r="E29" s="156"/>
      <c r="F29" s="157">
        <f>I18+I27</f>
        <v>0</v>
      </c>
      <c r="G29" s="158"/>
      <c r="H29" s="158"/>
      <c r="I29" s="159"/>
    </row>
    <row r="33" spans="1:9" ht="15.75" x14ac:dyDescent="0.25">
      <c r="A33" s="160" t="s">
        <v>809</v>
      </c>
      <c r="B33" s="160"/>
      <c r="C33" s="160"/>
      <c r="D33" s="160"/>
      <c r="E33" s="160"/>
    </row>
    <row r="34" spans="1:9" x14ac:dyDescent="0.25">
      <c r="A34" s="161" t="s">
        <v>810</v>
      </c>
      <c r="B34" s="162"/>
      <c r="C34" s="162"/>
      <c r="D34" s="162"/>
      <c r="E34" s="163"/>
      <c r="F34" s="90" t="s">
        <v>803</v>
      </c>
      <c r="G34" s="90" t="s">
        <v>804</v>
      </c>
      <c r="H34" s="90" t="s">
        <v>805</v>
      </c>
      <c r="I34" s="90" t="s">
        <v>803</v>
      </c>
    </row>
    <row r="35" spans="1:9" x14ac:dyDescent="0.25">
      <c r="A35" s="164" t="s">
        <v>50</v>
      </c>
      <c r="B35" s="165"/>
      <c r="C35" s="165"/>
      <c r="D35" s="165"/>
      <c r="E35" s="166"/>
      <c r="F35" s="93">
        <v>0</v>
      </c>
      <c r="G35" s="94" t="s">
        <v>50</v>
      </c>
      <c r="H35" s="94" t="s">
        <v>50</v>
      </c>
      <c r="I35" s="93">
        <f>F35</f>
        <v>0</v>
      </c>
    </row>
    <row r="36" spans="1:9" x14ac:dyDescent="0.25">
      <c r="A36" s="151" t="s">
        <v>811</v>
      </c>
      <c r="B36" s="152"/>
      <c r="C36" s="152"/>
      <c r="D36" s="152"/>
      <c r="E36" s="153"/>
      <c r="F36" s="95" t="s">
        <v>50</v>
      </c>
      <c r="G36" s="96" t="s">
        <v>50</v>
      </c>
      <c r="H36" s="96" t="s">
        <v>50</v>
      </c>
      <c r="I36" s="97">
        <f>SUM(I35:I35)</f>
        <v>0</v>
      </c>
    </row>
  </sheetData>
  <mergeCells count="51">
    <mergeCell ref="A1:I1"/>
    <mergeCell ref="A2:B3"/>
    <mergeCell ref="A4:B5"/>
    <mergeCell ref="A6:B7"/>
    <mergeCell ref="A8:B9"/>
    <mergeCell ref="H2:H3"/>
    <mergeCell ref="H4:H5"/>
    <mergeCell ref="H6:H7"/>
    <mergeCell ref="H8:H9"/>
    <mergeCell ref="I2:I3"/>
    <mergeCell ref="I4:I5"/>
    <mergeCell ref="I6:I7"/>
    <mergeCell ref="I8:I9"/>
    <mergeCell ref="E2:E3"/>
    <mergeCell ref="E4:E5"/>
    <mergeCell ref="E6:E7"/>
    <mergeCell ref="E8:E9"/>
    <mergeCell ref="E10:E11"/>
    <mergeCell ref="F2:G3"/>
    <mergeCell ref="F4:G5"/>
    <mergeCell ref="F6:G7"/>
    <mergeCell ref="F8:G9"/>
    <mergeCell ref="F10:G11"/>
    <mergeCell ref="C2:D3"/>
    <mergeCell ref="C4:D5"/>
    <mergeCell ref="C6:D7"/>
    <mergeCell ref="C8:D9"/>
    <mergeCell ref="C10:D11"/>
    <mergeCell ref="I10:I11"/>
    <mergeCell ref="A13:E13"/>
    <mergeCell ref="A14:E14"/>
    <mergeCell ref="A15:E15"/>
    <mergeCell ref="A16:E16"/>
    <mergeCell ref="H10:H11"/>
    <mergeCell ref="A10:B11"/>
    <mergeCell ref="A17:E17"/>
    <mergeCell ref="A18:E18"/>
    <mergeCell ref="A20:E20"/>
    <mergeCell ref="A21:E21"/>
    <mergeCell ref="A22:E22"/>
    <mergeCell ref="A23:E23"/>
    <mergeCell ref="A24:E24"/>
    <mergeCell ref="A25:E25"/>
    <mergeCell ref="A26:E26"/>
    <mergeCell ref="A27:E27"/>
    <mergeCell ref="A36:E36"/>
    <mergeCell ref="A29:E29"/>
    <mergeCell ref="F29:I29"/>
    <mergeCell ref="A33:E33"/>
    <mergeCell ref="A34:E34"/>
    <mergeCell ref="A35:E35"/>
  </mergeCells>
  <pageMargins left="0.393999993801117" right="0.393999993801117" top="0.59100002050399802" bottom="0.59100002050399802" header="0" footer="0"/>
  <pageSetup fitToHeight="0" orientation="landscape"/>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I35"/>
  <sheetViews>
    <sheetView workbookViewId="0">
      <selection activeCell="A35" sqref="A35:I35"/>
    </sheetView>
  </sheetViews>
  <sheetFormatPr defaultColWidth="12.140625" defaultRowHeight="15" customHeight="1" x14ac:dyDescent="0.25"/>
  <cols>
    <col min="1" max="1" width="9.140625" customWidth="1"/>
    <col min="2" max="2" width="12.85546875" customWidth="1"/>
    <col min="3" max="3" width="27.140625" customWidth="1"/>
    <col min="4" max="4" width="10" customWidth="1"/>
    <col min="5" max="5" width="14" customWidth="1"/>
    <col min="6" max="6" width="27.140625" customWidth="1"/>
    <col min="7" max="7" width="9.140625" customWidth="1"/>
    <col min="8" max="8" width="12.85546875" customWidth="1"/>
    <col min="9" max="9" width="27.140625" customWidth="1"/>
  </cols>
  <sheetData>
    <row r="1" spans="1:9" ht="54.75" customHeight="1" x14ac:dyDescent="0.25">
      <c r="A1" s="140" t="s">
        <v>812</v>
      </c>
      <c r="B1" s="141"/>
      <c r="C1" s="141"/>
      <c r="D1" s="141"/>
      <c r="E1" s="141"/>
      <c r="F1" s="141"/>
      <c r="G1" s="141"/>
      <c r="H1" s="141"/>
      <c r="I1" s="141"/>
    </row>
    <row r="2" spans="1:9" x14ac:dyDescent="0.25">
      <c r="A2" s="142" t="s">
        <v>1</v>
      </c>
      <c r="B2" s="143"/>
      <c r="C2" s="148" t="str">
        <f>'Stavební rozpočet'!D2</f>
        <v>KD K-trio-Oprava sociálních zařízení a šaten</v>
      </c>
      <c r="D2" s="149"/>
      <c r="E2" s="139" t="s">
        <v>5</v>
      </c>
      <c r="F2" s="139" t="str">
        <f>'Stavební rozpočet'!J2</f>
        <v> </v>
      </c>
      <c r="G2" s="143"/>
      <c r="H2" s="139" t="s">
        <v>757</v>
      </c>
      <c r="I2" s="145" t="s">
        <v>50</v>
      </c>
    </row>
    <row r="3" spans="1:9" ht="15" customHeight="1" x14ac:dyDescent="0.25">
      <c r="A3" s="144"/>
      <c r="B3" s="107"/>
      <c r="C3" s="150"/>
      <c r="D3" s="150"/>
      <c r="E3" s="107"/>
      <c r="F3" s="107"/>
      <c r="G3" s="107"/>
      <c r="H3" s="107"/>
      <c r="I3" s="146"/>
    </row>
    <row r="4" spans="1:9" x14ac:dyDescent="0.25">
      <c r="A4" s="137" t="s">
        <v>7</v>
      </c>
      <c r="B4" s="107"/>
      <c r="C4" s="106" t="str">
        <f>'Stavební rozpočet'!D4</f>
        <v xml:space="preserve"> </v>
      </c>
      <c r="D4" s="107"/>
      <c r="E4" s="106" t="s">
        <v>9</v>
      </c>
      <c r="F4" s="106" t="str">
        <f>'Stavební rozpočet'!J4</f>
        <v> </v>
      </c>
      <c r="G4" s="107"/>
      <c r="H4" s="106" t="s">
        <v>757</v>
      </c>
      <c r="I4" s="146" t="s">
        <v>50</v>
      </c>
    </row>
    <row r="5" spans="1:9" ht="15" customHeight="1" x14ac:dyDescent="0.25">
      <c r="A5" s="144"/>
      <c r="B5" s="107"/>
      <c r="C5" s="107"/>
      <c r="D5" s="107"/>
      <c r="E5" s="107"/>
      <c r="F5" s="107"/>
      <c r="G5" s="107"/>
      <c r="H5" s="107"/>
      <c r="I5" s="146"/>
    </row>
    <row r="6" spans="1:9" x14ac:dyDescent="0.25">
      <c r="A6" s="137" t="s">
        <v>10</v>
      </c>
      <c r="B6" s="107"/>
      <c r="C6" s="106" t="str">
        <f>'Stavební rozpočet'!D6</f>
        <v xml:space="preserve"> </v>
      </c>
      <c r="D6" s="107"/>
      <c r="E6" s="106" t="s">
        <v>12</v>
      </c>
      <c r="F6" s="106" t="str">
        <f>'Stavební rozpočet'!J6</f>
        <v> </v>
      </c>
      <c r="G6" s="107"/>
      <c r="H6" s="106" t="s">
        <v>757</v>
      </c>
      <c r="I6" s="146" t="s">
        <v>50</v>
      </c>
    </row>
    <row r="7" spans="1:9" ht="15" customHeight="1" x14ac:dyDescent="0.25">
      <c r="A7" s="144"/>
      <c r="B7" s="107"/>
      <c r="C7" s="107"/>
      <c r="D7" s="107"/>
      <c r="E7" s="107"/>
      <c r="F7" s="107"/>
      <c r="G7" s="107"/>
      <c r="H7" s="107"/>
      <c r="I7" s="146"/>
    </row>
    <row r="8" spans="1:9" x14ac:dyDescent="0.25">
      <c r="A8" s="137" t="s">
        <v>8</v>
      </c>
      <c r="B8" s="107"/>
      <c r="C8" s="106">
        <f>'Stavební rozpočet'!H4</f>
        <v>0</v>
      </c>
      <c r="D8" s="107"/>
      <c r="E8" s="106" t="s">
        <v>11</v>
      </c>
      <c r="F8" s="106" t="str">
        <f>'Stavební rozpočet'!H6</f>
        <v xml:space="preserve"> </v>
      </c>
      <c r="G8" s="107"/>
      <c r="H8" s="107" t="s">
        <v>758</v>
      </c>
      <c r="I8" s="147">
        <v>0</v>
      </c>
    </row>
    <row r="9" spans="1:9" x14ac:dyDescent="0.25">
      <c r="A9" s="144"/>
      <c r="B9" s="107"/>
      <c r="C9" s="107"/>
      <c r="D9" s="107"/>
      <c r="E9" s="107"/>
      <c r="F9" s="107"/>
      <c r="G9" s="107"/>
      <c r="H9" s="107"/>
      <c r="I9" s="146"/>
    </row>
    <row r="10" spans="1:9" x14ac:dyDescent="0.25">
      <c r="A10" s="137" t="s">
        <v>13</v>
      </c>
      <c r="B10" s="107"/>
      <c r="C10" s="106" t="str">
        <f>'Stavební rozpočet'!D8</f>
        <v xml:space="preserve"> </v>
      </c>
      <c r="D10" s="107"/>
      <c r="E10" s="106" t="s">
        <v>15</v>
      </c>
      <c r="F10" s="106" t="str">
        <f>'Stavební rozpočet'!J8</f>
        <v> </v>
      </c>
      <c r="G10" s="107"/>
      <c r="H10" s="107" t="s">
        <v>759</v>
      </c>
      <c r="I10" s="131">
        <f>'Stavební rozpočet'!H8</f>
        <v>0</v>
      </c>
    </row>
    <row r="11" spans="1:9" x14ac:dyDescent="0.25">
      <c r="A11" s="138"/>
      <c r="B11" s="136"/>
      <c r="C11" s="136"/>
      <c r="D11" s="136"/>
      <c r="E11" s="136"/>
      <c r="F11" s="136"/>
      <c r="G11" s="136"/>
      <c r="H11" s="136"/>
      <c r="I11" s="132"/>
    </row>
    <row r="12" spans="1:9" ht="23.25" x14ac:dyDescent="0.25">
      <c r="A12" s="133" t="s">
        <v>760</v>
      </c>
      <c r="B12" s="133"/>
      <c r="C12" s="133"/>
      <c r="D12" s="133"/>
      <c r="E12" s="133"/>
      <c r="F12" s="133"/>
      <c r="G12" s="133"/>
      <c r="H12" s="133"/>
      <c r="I12" s="133"/>
    </row>
    <row r="13" spans="1:9" ht="26.25" customHeight="1" x14ac:dyDescent="0.25">
      <c r="A13" s="77" t="s">
        <v>761</v>
      </c>
      <c r="B13" s="134" t="s">
        <v>762</v>
      </c>
      <c r="C13" s="135"/>
      <c r="D13" s="78" t="s">
        <v>763</v>
      </c>
      <c r="E13" s="134" t="s">
        <v>764</v>
      </c>
      <c r="F13" s="135"/>
      <c r="G13" s="78" t="s">
        <v>765</v>
      </c>
      <c r="H13" s="134" t="s">
        <v>766</v>
      </c>
      <c r="I13" s="135"/>
    </row>
    <row r="14" spans="1:9" ht="15.75" x14ac:dyDescent="0.25">
      <c r="A14" s="79" t="s">
        <v>767</v>
      </c>
      <c r="B14" s="80" t="s">
        <v>768</v>
      </c>
      <c r="C14" s="81">
        <f>0</f>
        <v>0</v>
      </c>
      <c r="D14" s="120" t="s">
        <v>769</v>
      </c>
      <c r="E14" s="121"/>
      <c r="F14" s="81">
        <f>'VORN objektu (SO 01)'!I15</f>
        <v>0</v>
      </c>
      <c r="G14" s="120" t="s">
        <v>770</v>
      </c>
      <c r="H14" s="121"/>
      <c r="I14" s="81">
        <f>'VORN objektu (SO 01)'!I21</f>
        <v>0</v>
      </c>
    </row>
    <row r="15" spans="1:9" ht="15.75" x14ac:dyDescent="0.25">
      <c r="A15" s="82" t="s">
        <v>50</v>
      </c>
      <c r="B15" s="80" t="s">
        <v>33</v>
      </c>
      <c r="C15" s="81">
        <f>0</f>
        <v>0</v>
      </c>
      <c r="D15" s="120" t="s">
        <v>771</v>
      </c>
      <c r="E15" s="121"/>
      <c r="F15" s="81">
        <f>'VORN objektu (SO 01)'!I16</f>
        <v>0</v>
      </c>
      <c r="G15" s="120" t="s">
        <v>772</v>
      </c>
      <c r="H15" s="121"/>
      <c r="I15" s="81">
        <f>'VORN objektu (SO 01)'!I22</f>
        <v>0</v>
      </c>
    </row>
    <row r="16" spans="1:9" ht="15.75" x14ac:dyDescent="0.25">
      <c r="A16" s="79" t="s">
        <v>773</v>
      </c>
      <c r="B16" s="80" t="s">
        <v>768</v>
      </c>
      <c r="C16" s="81">
        <f>0</f>
        <v>0</v>
      </c>
      <c r="D16" s="120" t="s">
        <v>774</v>
      </c>
      <c r="E16" s="121"/>
      <c r="F16" s="81">
        <f>'VORN objektu (SO 01)'!I17</f>
        <v>0</v>
      </c>
      <c r="G16" s="120" t="s">
        <v>775</v>
      </c>
      <c r="H16" s="121"/>
      <c r="I16" s="81">
        <f>'VORN objektu (SO 01)'!I23</f>
        <v>0</v>
      </c>
    </row>
    <row r="17" spans="1:9" ht="15.75" x14ac:dyDescent="0.25">
      <c r="A17" s="82" t="s">
        <v>50</v>
      </c>
      <c r="B17" s="80" t="s">
        <v>33</v>
      </c>
      <c r="C17" s="81">
        <f>0</f>
        <v>0</v>
      </c>
      <c r="D17" s="120" t="s">
        <v>50</v>
      </c>
      <c r="E17" s="121"/>
      <c r="F17" s="83" t="s">
        <v>50</v>
      </c>
      <c r="G17" s="120" t="s">
        <v>776</v>
      </c>
      <c r="H17" s="121"/>
      <c r="I17" s="81">
        <f>'VORN objektu (SO 01)'!I24</f>
        <v>0</v>
      </c>
    </row>
    <row r="18" spans="1:9" ht="15.75" x14ac:dyDescent="0.25">
      <c r="A18" s="79" t="s">
        <v>777</v>
      </c>
      <c r="B18" s="80" t="s">
        <v>768</v>
      </c>
      <c r="C18" s="81">
        <f>0</f>
        <v>0</v>
      </c>
      <c r="D18" s="120" t="s">
        <v>50</v>
      </c>
      <c r="E18" s="121"/>
      <c r="F18" s="83" t="s">
        <v>50</v>
      </c>
      <c r="G18" s="120" t="s">
        <v>778</v>
      </c>
      <c r="H18" s="121"/>
      <c r="I18" s="81">
        <f>'VORN objektu (SO 01)'!I25</f>
        <v>0</v>
      </c>
    </row>
    <row r="19" spans="1:9" ht="15.75" x14ac:dyDescent="0.25">
      <c r="A19" s="82" t="s">
        <v>50</v>
      </c>
      <c r="B19" s="80" t="s">
        <v>33</v>
      </c>
      <c r="C19" s="81">
        <f>0</f>
        <v>0</v>
      </c>
      <c r="D19" s="120" t="s">
        <v>50</v>
      </c>
      <c r="E19" s="121"/>
      <c r="F19" s="83" t="s">
        <v>50</v>
      </c>
      <c r="G19" s="120" t="s">
        <v>779</v>
      </c>
      <c r="H19" s="121"/>
      <c r="I19" s="81">
        <f>'VORN objektu (SO 01)'!I26</f>
        <v>0</v>
      </c>
    </row>
    <row r="20" spans="1:9" ht="15.75" x14ac:dyDescent="0.25">
      <c r="A20" s="126" t="s">
        <v>780</v>
      </c>
      <c r="B20" s="127"/>
      <c r="C20" s="81">
        <f>0</f>
        <v>0</v>
      </c>
      <c r="D20" s="120" t="s">
        <v>50</v>
      </c>
      <c r="E20" s="121"/>
      <c r="F20" s="83" t="s">
        <v>50</v>
      </c>
      <c r="G20" s="120" t="s">
        <v>50</v>
      </c>
      <c r="H20" s="121"/>
      <c r="I20" s="83" t="s">
        <v>50</v>
      </c>
    </row>
    <row r="21" spans="1:9" ht="15.75" x14ac:dyDescent="0.25">
      <c r="A21" s="128" t="s">
        <v>781</v>
      </c>
      <c r="B21" s="129"/>
      <c r="C21" s="84">
        <f>0</f>
        <v>0</v>
      </c>
      <c r="D21" s="122" t="s">
        <v>50</v>
      </c>
      <c r="E21" s="123"/>
      <c r="F21" s="85" t="s">
        <v>50</v>
      </c>
      <c r="G21" s="122" t="s">
        <v>50</v>
      </c>
      <c r="H21" s="123"/>
      <c r="I21" s="85" t="s">
        <v>50</v>
      </c>
    </row>
    <row r="22" spans="1:9" ht="16.5" customHeight="1" x14ac:dyDescent="0.25">
      <c r="A22" s="130" t="s">
        <v>782</v>
      </c>
      <c r="B22" s="125"/>
      <c r="C22" s="86">
        <f>SUM(C14:C21)</f>
        <v>0</v>
      </c>
      <c r="D22" s="124" t="s">
        <v>783</v>
      </c>
      <c r="E22" s="125"/>
      <c r="F22" s="86">
        <f>SUM(F14:F21)</f>
        <v>0</v>
      </c>
      <c r="G22" s="124" t="s">
        <v>784</v>
      </c>
      <c r="H22" s="125"/>
      <c r="I22" s="86">
        <f>SUM(I14:I21)</f>
        <v>0</v>
      </c>
    </row>
    <row r="23" spans="1:9" ht="15.75" x14ac:dyDescent="0.25">
      <c r="G23" s="126" t="s">
        <v>787</v>
      </c>
      <c r="H23" s="127"/>
      <c r="I23" s="81">
        <f>'VORN objektu (SO 01)'!I36</f>
        <v>0</v>
      </c>
    </row>
    <row r="25" spans="1:9" ht="15.75" x14ac:dyDescent="0.25">
      <c r="A25" s="118" t="s">
        <v>789</v>
      </c>
      <c r="B25" s="111"/>
      <c r="C25" s="87">
        <f>0</f>
        <v>0</v>
      </c>
    </row>
    <row r="26" spans="1:9" ht="15.75" x14ac:dyDescent="0.25">
      <c r="A26" s="119" t="s">
        <v>790</v>
      </c>
      <c r="B26" s="113"/>
      <c r="C26" s="88">
        <f>0</f>
        <v>0</v>
      </c>
      <c r="D26" s="110" t="s">
        <v>791</v>
      </c>
      <c r="E26" s="111"/>
      <c r="F26" s="87">
        <f>ROUND(C26*(12/100),2)</f>
        <v>0</v>
      </c>
      <c r="G26" s="110" t="s">
        <v>792</v>
      </c>
      <c r="H26" s="111"/>
      <c r="I26" s="87">
        <f>SUM(C25:C27)</f>
        <v>0</v>
      </c>
    </row>
    <row r="27" spans="1:9" ht="15.75" x14ac:dyDescent="0.25">
      <c r="A27" s="119" t="s">
        <v>793</v>
      </c>
      <c r="B27" s="113"/>
      <c r="C27" s="88">
        <f>0+(F22+I22+F23+I23+I24)</f>
        <v>0</v>
      </c>
      <c r="D27" s="112" t="s">
        <v>794</v>
      </c>
      <c r="E27" s="113"/>
      <c r="F27" s="88">
        <f>ROUND(C27*(21/100),2)</f>
        <v>0</v>
      </c>
      <c r="G27" s="112" t="s">
        <v>795</v>
      </c>
      <c r="H27" s="113"/>
      <c r="I27" s="88">
        <f>SUM(F26:F27)+I26</f>
        <v>0</v>
      </c>
    </row>
    <row r="29" spans="1:9" x14ac:dyDescent="0.25">
      <c r="A29" s="114" t="s">
        <v>796</v>
      </c>
      <c r="B29" s="115"/>
      <c r="C29" s="116"/>
      <c r="D29" s="117" t="s">
        <v>797</v>
      </c>
      <c r="E29" s="115"/>
      <c r="F29" s="116"/>
      <c r="G29" s="117" t="s">
        <v>798</v>
      </c>
      <c r="H29" s="115"/>
      <c r="I29" s="116"/>
    </row>
    <row r="30" spans="1:9" x14ac:dyDescent="0.25">
      <c r="A30" s="108" t="s">
        <v>50</v>
      </c>
      <c r="B30" s="101"/>
      <c r="C30" s="102"/>
      <c r="D30" s="100" t="s">
        <v>50</v>
      </c>
      <c r="E30" s="101"/>
      <c r="F30" s="102"/>
      <c r="G30" s="100" t="s">
        <v>50</v>
      </c>
      <c r="H30" s="101"/>
      <c r="I30" s="102"/>
    </row>
    <row r="31" spans="1:9" x14ac:dyDescent="0.25">
      <c r="A31" s="108" t="s">
        <v>50</v>
      </c>
      <c r="B31" s="101"/>
      <c r="C31" s="102"/>
      <c r="D31" s="100" t="s">
        <v>50</v>
      </c>
      <c r="E31" s="101"/>
      <c r="F31" s="102"/>
      <c r="G31" s="100" t="s">
        <v>50</v>
      </c>
      <c r="H31" s="101"/>
      <c r="I31" s="102"/>
    </row>
    <row r="32" spans="1:9" x14ac:dyDescent="0.25">
      <c r="A32" s="108" t="s">
        <v>50</v>
      </c>
      <c r="B32" s="101"/>
      <c r="C32" s="102"/>
      <c r="D32" s="100" t="s">
        <v>50</v>
      </c>
      <c r="E32" s="101"/>
      <c r="F32" s="102"/>
      <c r="G32" s="100" t="s">
        <v>50</v>
      </c>
      <c r="H32" s="101"/>
      <c r="I32" s="102"/>
    </row>
    <row r="33" spans="1:9" x14ac:dyDescent="0.25">
      <c r="A33" s="109" t="s">
        <v>799</v>
      </c>
      <c r="B33" s="104"/>
      <c r="C33" s="105"/>
      <c r="D33" s="103" t="s">
        <v>799</v>
      </c>
      <c r="E33" s="104"/>
      <c r="F33" s="105"/>
      <c r="G33" s="103" t="s">
        <v>799</v>
      </c>
      <c r="H33" s="104"/>
      <c r="I33" s="105"/>
    </row>
    <row r="34" spans="1:9" x14ac:dyDescent="0.25">
      <c r="A34" s="89" t="s">
        <v>600</v>
      </c>
    </row>
    <row r="35" spans="1:9" ht="12.75" customHeight="1" x14ac:dyDescent="0.25">
      <c r="A35" s="106" t="s">
        <v>50</v>
      </c>
      <c r="B35" s="107"/>
      <c r="C35" s="107"/>
      <c r="D35" s="107"/>
      <c r="E35" s="107"/>
      <c r="F35" s="107"/>
      <c r="G35" s="107"/>
      <c r="H35" s="107"/>
      <c r="I35" s="107"/>
    </row>
  </sheetData>
  <mergeCells count="80">
    <mergeCell ref="A1:I1"/>
    <mergeCell ref="A2:B3"/>
    <mergeCell ref="A4:B5"/>
    <mergeCell ref="A6:B7"/>
    <mergeCell ref="A8:B9"/>
    <mergeCell ref="F2:G3"/>
    <mergeCell ref="F4:G5"/>
    <mergeCell ref="F6:G7"/>
    <mergeCell ref="F8:G9"/>
    <mergeCell ref="I2:I3"/>
    <mergeCell ref="I4:I5"/>
    <mergeCell ref="I6:I7"/>
    <mergeCell ref="I8:I9"/>
    <mergeCell ref="C2:D3"/>
    <mergeCell ref="C4:D5"/>
    <mergeCell ref="C6:D7"/>
    <mergeCell ref="C8:D9"/>
    <mergeCell ref="C10:D11"/>
    <mergeCell ref="E2:E3"/>
    <mergeCell ref="E4:E5"/>
    <mergeCell ref="E6:E7"/>
    <mergeCell ref="E8:E9"/>
    <mergeCell ref="E10:E11"/>
    <mergeCell ref="H2:H3"/>
    <mergeCell ref="H4:H5"/>
    <mergeCell ref="H6:H7"/>
    <mergeCell ref="H8:H9"/>
    <mergeCell ref="H10:H11"/>
    <mergeCell ref="I10:I11"/>
    <mergeCell ref="A12:I12"/>
    <mergeCell ref="B13:C13"/>
    <mergeCell ref="E13:F13"/>
    <mergeCell ref="H13:I13"/>
    <mergeCell ref="F10:G11"/>
    <mergeCell ref="A10:B11"/>
    <mergeCell ref="A20:B20"/>
    <mergeCell ref="A21:B21"/>
    <mergeCell ref="A22:B22"/>
    <mergeCell ref="D14:E14"/>
    <mergeCell ref="D15:E15"/>
    <mergeCell ref="D16:E16"/>
    <mergeCell ref="D17:E17"/>
    <mergeCell ref="D18:E18"/>
    <mergeCell ref="D19:E19"/>
    <mergeCell ref="D20:E20"/>
    <mergeCell ref="D21:E21"/>
    <mergeCell ref="D22:E22"/>
    <mergeCell ref="G14:H14"/>
    <mergeCell ref="G15:H15"/>
    <mergeCell ref="G16:H16"/>
    <mergeCell ref="G17:H17"/>
    <mergeCell ref="G18:H18"/>
    <mergeCell ref="G19:H19"/>
    <mergeCell ref="G20:H20"/>
    <mergeCell ref="G21:H21"/>
    <mergeCell ref="G22:H22"/>
    <mergeCell ref="G23:H23"/>
    <mergeCell ref="A25:B25"/>
    <mergeCell ref="A26:B26"/>
    <mergeCell ref="A27:B27"/>
    <mergeCell ref="D26:E26"/>
    <mergeCell ref="D27:E27"/>
    <mergeCell ref="G26:H26"/>
    <mergeCell ref="G27:H27"/>
    <mergeCell ref="A29:C29"/>
    <mergeCell ref="A30:C30"/>
    <mergeCell ref="A31:C31"/>
    <mergeCell ref="G29:I29"/>
    <mergeCell ref="G30:I30"/>
    <mergeCell ref="G31:I31"/>
    <mergeCell ref="D29:F29"/>
    <mergeCell ref="D30:F30"/>
    <mergeCell ref="D31:F31"/>
    <mergeCell ref="D32:F32"/>
    <mergeCell ref="D33:F33"/>
    <mergeCell ref="G32:I32"/>
    <mergeCell ref="G33:I33"/>
    <mergeCell ref="A35:I35"/>
    <mergeCell ref="A32:C32"/>
    <mergeCell ref="A33:C33"/>
  </mergeCells>
  <pageMargins left="0.393999993801117" right="0.393999993801117" top="0.59100002050399802" bottom="0.59100002050399802" header="0" footer="0"/>
  <pageSetup orientation="landscape"/>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I36"/>
  <sheetViews>
    <sheetView workbookViewId="0">
      <selection activeCell="A36" sqref="A36:E36"/>
    </sheetView>
  </sheetViews>
  <sheetFormatPr defaultColWidth="12.140625" defaultRowHeight="15" customHeight="1" x14ac:dyDescent="0.25"/>
  <cols>
    <col min="1" max="1" width="9.140625" customWidth="1"/>
    <col min="2" max="2" width="12.85546875" customWidth="1"/>
    <col min="3" max="3" width="22.85546875" customWidth="1"/>
    <col min="4" max="4" width="10" customWidth="1"/>
    <col min="5" max="5" width="14" customWidth="1"/>
    <col min="6" max="6" width="22.85546875" customWidth="1"/>
    <col min="7" max="7" width="9.140625" customWidth="1"/>
    <col min="8" max="8" width="17.140625" customWidth="1"/>
    <col min="9" max="9" width="22.85546875" customWidth="1"/>
  </cols>
  <sheetData>
    <row r="1" spans="1:9" ht="54.75" customHeight="1" x14ac:dyDescent="0.25">
      <c r="A1" s="140" t="s">
        <v>813</v>
      </c>
      <c r="B1" s="141"/>
      <c r="C1" s="141"/>
      <c r="D1" s="141"/>
      <c r="E1" s="141"/>
      <c r="F1" s="141"/>
      <c r="G1" s="141"/>
      <c r="H1" s="141"/>
      <c r="I1" s="141"/>
    </row>
    <row r="2" spans="1:9" x14ac:dyDescent="0.25">
      <c r="A2" s="142" t="s">
        <v>1</v>
      </c>
      <c r="B2" s="143"/>
      <c r="C2" s="148" t="str">
        <f>'Stavební rozpočet'!D2</f>
        <v>KD K-trio-Oprava sociálních zařízení a šaten</v>
      </c>
      <c r="D2" s="149"/>
      <c r="E2" s="139" t="s">
        <v>5</v>
      </c>
      <c r="F2" s="139" t="str">
        <f>'Stavební rozpočet'!J2</f>
        <v> </v>
      </c>
      <c r="G2" s="143"/>
      <c r="H2" s="139" t="s">
        <v>757</v>
      </c>
      <c r="I2" s="145" t="s">
        <v>50</v>
      </c>
    </row>
    <row r="3" spans="1:9" ht="15" customHeight="1" x14ac:dyDescent="0.25">
      <c r="A3" s="144"/>
      <c r="B3" s="107"/>
      <c r="C3" s="150"/>
      <c r="D3" s="150"/>
      <c r="E3" s="107"/>
      <c r="F3" s="107"/>
      <c r="G3" s="107"/>
      <c r="H3" s="107"/>
      <c r="I3" s="146"/>
    </row>
    <row r="4" spans="1:9" x14ac:dyDescent="0.25">
      <c r="A4" s="137" t="s">
        <v>7</v>
      </c>
      <c r="B4" s="107"/>
      <c r="C4" s="106" t="str">
        <f>'Stavební rozpočet'!D4</f>
        <v xml:space="preserve"> </v>
      </c>
      <c r="D4" s="107"/>
      <c r="E4" s="106" t="s">
        <v>9</v>
      </c>
      <c r="F4" s="106" t="str">
        <f>'Stavební rozpočet'!J4</f>
        <v> </v>
      </c>
      <c r="G4" s="107"/>
      <c r="H4" s="106" t="s">
        <v>757</v>
      </c>
      <c r="I4" s="146" t="s">
        <v>50</v>
      </c>
    </row>
    <row r="5" spans="1:9" ht="15" customHeight="1" x14ac:dyDescent="0.25">
      <c r="A5" s="144"/>
      <c r="B5" s="107"/>
      <c r="C5" s="107"/>
      <c r="D5" s="107"/>
      <c r="E5" s="107"/>
      <c r="F5" s="107"/>
      <c r="G5" s="107"/>
      <c r="H5" s="107"/>
      <c r="I5" s="146"/>
    </row>
    <row r="6" spans="1:9" x14ac:dyDescent="0.25">
      <c r="A6" s="137" t="s">
        <v>10</v>
      </c>
      <c r="B6" s="107"/>
      <c r="C6" s="106" t="str">
        <f>'Stavební rozpočet'!D6</f>
        <v xml:space="preserve"> </v>
      </c>
      <c r="D6" s="107"/>
      <c r="E6" s="106" t="s">
        <v>12</v>
      </c>
      <c r="F6" s="106" t="str">
        <f>'Stavební rozpočet'!J6</f>
        <v> </v>
      </c>
      <c r="G6" s="107"/>
      <c r="H6" s="106" t="s">
        <v>757</v>
      </c>
      <c r="I6" s="146" t="s">
        <v>50</v>
      </c>
    </row>
    <row r="7" spans="1:9" ht="15" customHeight="1" x14ac:dyDescent="0.25">
      <c r="A7" s="144"/>
      <c r="B7" s="107"/>
      <c r="C7" s="107"/>
      <c r="D7" s="107"/>
      <c r="E7" s="107"/>
      <c r="F7" s="107"/>
      <c r="G7" s="107"/>
      <c r="H7" s="107"/>
      <c r="I7" s="146"/>
    </row>
    <row r="8" spans="1:9" x14ac:dyDescent="0.25">
      <c r="A8" s="137" t="s">
        <v>8</v>
      </c>
      <c r="B8" s="107"/>
      <c r="C8" s="106">
        <f>'Stavební rozpočet'!H4</f>
        <v>0</v>
      </c>
      <c r="D8" s="107"/>
      <c r="E8" s="106" t="s">
        <v>11</v>
      </c>
      <c r="F8" s="106" t="str">
        <f>'Stavební rozpočet'!H6</f>
        <v xml:space="preserve"> </v>
      </c>
      <c r="G8" s="107"/>
      <c r="H8" s="107" t="s">
        <v>758</v>
      </c>
      <c r="I8" s="147">
        <v>0</v>
      </c>
    </row>
    <row r="9" spans="1:9" x14ac:dyDescent="0.25">
      <c r="A9" s="144"/>
      <c r="B9" s="107"/>
      <c r="C9" s="107"/>
      <c r="D9" s="107"/>
      <c r="E9" s="107"/>
      <c r="F9" s="107"/>
      <c r="G9" s="107"/>
      <c r="H9" s="107"/>
      <c r="I9" s="146"/>
    </row>
    <row r="10" spans="1:9" x14ac:dyDescent="0.25">
      <c r="A10" s="137" t="s">
        <v>13</v>
      </c>
      <c r="B10" s="107"/>
      <c r="C10" s="106" t="str">
        <f>'Stavební rozpočet'!D8</f>
        <v xml:space="preserve"> </v>
      </c>
      <c r="D10" s="107"/>
      <c r="E10" s="106" t="s">
        <v>15</v>
      </c>
      <c r="F10" s="106" t="str">
        <f>'Stavební rozpočet'!J8</f>
        <v> </v>
      </c>
      <c r="G10" s="107"/>
      <c r="H10" s="107" t="s">
        <v>759</v>
      </c>
      <c r="I10" s="131">
        <f>'Stavební rozpočet'!H8</f>
        <v>0</v>
      </c>
    </row>
    <row r="11" spans="1:9" x14ac:dyDescent="0.25">
      <c r="A11" s="138"/>
      <c r="B11" s="136"/>
      <c r="C11" s="136"/>
      <c r="D11" s="136"/>
      <c r="E11" s="136"/>
      <c r="F11" s="136"/>
      <c r="G11" s="136"/>
      <c r="H11" s="136"/>
      <c r="I11" s="132"/>
    </row>
    <row r="13" spans="1:9" ht="15.75" x14ac:dyDescent="0.25">
      <c r="A13" s="160" t="s">
        <v>801</v>
      </c>
      <c r="B13" s="160"/>
      <c r="C13" s="160"/>
      <c r="D13" s="160"/>
      <c r="E13" s="160"/>
    </row>
    <row r="14" spans="1:9" x14ac:dyDescent="0.25">
      <c r="A14" s="161" t="s">
        <v>802</v>
      </c>
      <c r="B14" s="162"/>
      <c r="C14" s="162"/>
      <c r="D14" s="162"/>
      <c r="E14" s="163"/>
      <c r="F14" s="90" t="s">
        <v>803</v>
      </c>
      <c r="G14" s="90" t="s">
        <v>804</v>
      </c>
      <c r="H14" s="90" t="s">
        <v>805</v>
      </c>
      <c r="I14" s="90" t="s">
        <v>803</v>
      </c>
    </row>
    <row r="15" spans="1:9" x14ac:dyDescent="0.25">
      <c r="A15" s="167" t="s">
        <v>769</v>
      </c>
      <c r="B15" s="168"/>
      <c r="C15" s="168"/>
      <c r="D15" s="168"/>
      <c r="E15" s="169"/>
      <c r="F15" s="91">
        <v>0</v>
      </c>
      <c r="G15" s="92" t="s">
        <v>50</v>
      </c>
      <c r="H15" s="92" t="s">
        <v>50</v>
      </c>
      <c r="I15" s="91">
        <f>F15</f>
        <v>0</v>
      </c>
    </row>
    <row r="16" spans="1:9" x14ac:dyDescent="0.25">
      <c r="A16" s="167" t="s">
        <v>771</v>
      </c>
      <c r="B16" s="168"/>
      <c r="C16" s="168"/>
      <c r="D16" s="168"/>
      <c r="E16" s="169"/>
      <c r="F16" s="91">
        <v>0</v>
      </c>
      <c r="G16" s="92" t="s">
        <v>50</v>
      </c>
      <c r="H16" s="92" t="s">
        <v>50</v>
      </c>
      <c r="I16" s="91">
        <f>F16</f>
        <v>0</v>
      </c>
    </row>
    <row r="17" spans="1:9" x14ac:dyDescent="0.25">
      <c r="A17" s="164" t="s">
        <v>774</v>
      </c>
      <c r="B17" s="165"/>
      <c r="C17" s="165"/>
      <c r="D17" s="165"/>
      <c r="E17" s="166"/>
      <c r="F17" s="93">
        <v>0</v>
      </c>
      <c r="G17" s="94" t="s">
        <v>50</v>
      </c>
      <c r="H17" s="94" t="s">
        <v>50</v>
      </c>
      <c r="I17" s="93">
        <f>F17</f>
        <v>0</v>
      </c>
    </row>
    <row r="18" spans="1:9" x14ac:dyDescent="0.25">
      <c r="A18" s="151" t="s">
        <v>806</v>
      </c>
      <c r="B18" s="152"/>
      <c r="C18" s="152"/>
      <c r="D18" s="152"/>
      <c r="E18" s="153"/>
      <c r="F18" s="95" t="s">
        <v>50</v>
      </c>
      <c r="G18" s="96" t="s">
        <v>50</v>
      </c>
      <c r="H18" s="96" t="s">
        <v>50</v>
      </c>
      <c r="I18" s="97">
        <f>SUM(I15:I17)</f>
        <v>0</v>
      </c>
    </row>
    <row r="20" spans="1:9" x14ac:dyDescent="0.25">
      <c r="A20" s="161" t="s">
        <v>766</v>
      </c>
      <c r="B20" s="162"/>
      <c r="C20" s="162"/>
      <c r="D20" s="162"/>
      <c r="E20" s="163"/>
      <c r="F20" s="90" t="s">
        <v>803</v>
      </c>
      <c r="G20" s="90" t="s">
        <v>804</v>
      </c>
      <c r="H20" s="90" t="s">
        <v>805</v>
      </c>
      <c r="I20" s="90" t="s">
        <v>803</v>
      </c>
    </row>
    <row r="21" spans="1:9" x14ac:dyDescent="0.25">
      <c r="A21" s="167" t="s">
        <v>770</v>
      </c>
      <c r="B21" s="168"/>
      <c r="C21" s="168"/>
      <c r="D21" s="168"/>
      <c r="E21" s="169"/>
      <c r="F21" s="92" t="s">
        <v>50</v>
      </c>
      <c r="G21" s="91">
        <v>1</v>
      </c>
      <c r="H21" s="91">
        <f>'Krycí list rozpočtu (SO 01)'!C22</f>
        <v>0</v>
      </c>
      <c r="I21" s="91">
        <f>ROUND((G21/100)*H21,2)</f>
        <v>0</v>
      </c>
    </row>
    <row r="22" spans="1:9" x14ac:dyDescent="0.25">
      <c r="A22" s="167" t="s">
        <v>772</v>
      </c>
      <c r="B22" s="168"/>
      <c r="C22" s="168"/>
      <c r="D22" s="168"/>
      <c r="E22" s="169"/>
      <c r="F22" s="91">
        <v>0</v>
      </c>
      <c r="G22" s="92" t="s">
        <v>50</v>
      </c>
      <c r="H22" s="92" t="s">
        <v>50</v>
      </c>
      <c r="I22" s="91">
        <f>F22</f>
        <v>0</v>
      </c>
    </row>
    <row r="23" spans="1:9" x14ac:dyDescent="0.25">
      <c r="A23" s="167" t="s">
        <v>775</v>
      </c>
      <c r="B23" s="168"/>
      <c r="C23" s="168"/>
      <c r="D23" s="168"/>
      <c r="E23" s="169"/>
      <c r="F23" s="91">
        <v>0</v>
      </c>
      <c r="G23" s="92" t="s">
        <v>50</v>
      </c>
      <c r="H23" s="92" t="s">
        <v>50</v>
      </c>
      <c r="I23" s="91">
        <f>F23</f>
        <v>0</v>
      </c>
    </row>
    <row r="24" spans="1:9" x14ac:dyDescent="0.25">
      <c r="A24" s="167" t="s">
        <v>776</v>
      </c>
      <c r="B24" s="168"/>
      <c r="C24" s="168"/>
      <c r="D24" s="168"/>
      <c r="E24" s="169"/>
      <c r="F24" s="91">
        <v>0</v>
      </c>
      <c r="G24" s="92" t="s">
        <v>50</v>
      </c>
      <c r="H24" s="92" t="s">
        <v>50</v>
      </c>
      <c r="I24" s="91">
        <f>F24</f>
        <v>0</v>
      </c>
    </row>
    <row r="25" spans="1:9" x14ac:dyDescent="0.25">
      <c r="A25" s="167" t="s">
        <v>778</v>
      </c>
      <c r="B25" s="168"/>
      <c r="C25" s="168"/>
      <c r="D25" s="168"/>
      <c r="E25" s="169"/>
      <c r="F25" s="91">
        <v>0</v>
      </c>
      <c r="G25" s="92" t="s">
        <v>50</v>
      </c>
      <c r="H25" s="92" t="s">
        <v>50</v>
      </c>
      <c r="I25" s="91">
        <f>F25</f>
        <v>0</v>
      </c>
    </row>
    <row r="26" spans="1:9" x14ac:dyDescent="0.25">
      <c r="A26" s="164" t="s">
        <v>779</v>
      </c>
      <c r="B26" s="165"/>
      <c r="C26" s="165"/>
      <c r="D26" s="165"/>
      <c r="E26" s="166"/>
      <c r="F26" s="93">
        <v>0</v>
      </c>
      <c r="G26" s="94" t="s">
        <v>50</v>
      </c>
      <c r="H26" s="94" t="s">
        <v>50</v>
      </c>
      <c r="I26" s="93">
        <f>F26</f>
        <v>0</v>
      </c>
    </row>
    <row r="27" spans="1:9" x14ac:dyDescent="0.25">
      <c r="A27" s="151" t="s">
        <v>807</v>
      </c>
      <c r="B27" s="152"/>
      <c r="C27" s="152"/>
      <c r="D27" s="152"/>
      <c r="E27" s="153"/>
      <c r="F27" s="95" t="s">
        <v>50</v>
      </c>
      <c r="G27" s="96" t="s">
        <v>50</v>
      </c>
      <c r="H27" s="96" t="s">
        <v>50</v>
      </c>
      <c r="I27" s="97">
        <f>SUM(I21:I26)</f>
        <v>0</v>
      </c>
    </row>
    <row r="29" spans="1:9" ht="15.75" x14ac:dyDescent="0.25">
      <c r="A29" s="154" t="s">
        <v>808</v>
      </c>
      <c r="B29" s="155"/>
      <c r="C29" s="155"/>
      <c r="D29" s="155"/>
      <c r="E29" s="156"/>
      <c r="F29" s="157">
        <f>I18+I27</f>
        <v>0</v>
      </c>
      <c r="G29" s="158"/>
      <c r="H29" s="158"/>
      <c r="I29" s="159"/>
    </row>
    <row r="33" spans="1:9" ht="15.75" x14ac:dyDescent="0.25">
      <c r="A33" s="160" t="s">
        <v>809</v>
      </c>
      <c r="B33" s="160"/>
      <c r="C33" s="160"/>
      <c r="D33" s="160"/>
      <c r="E33" s="160"/>
    </row>
    <row r="34" spans="1:9" x14ac:dyDescent="0.25">
      <c r="A34" s="161" t="s">
        <v>810</v>
      </c>
      <c r="B34" s="162"/>
      <c r="C34" s="162"/>
      <c r="D34" s="162"/>
      <c r="E34" s="163"/>
      <c r="F34" s="90" t="s">
        <v>803</v>
      </c>
      <c r="G34" s="90" t="s">
        <v>804</v>
      </c>
      <c r="H34" s="90" t="s">
        <v>805</v>
      </c>
      <c r="I34" s="90" t="s">
        <v>803</v>
      </c>
    </row>
    <row r="35" spans="1:9" x14ac:dyDescent="0.25">
      <c r="A35" s="164" t="s">
        <v>814</v>
      </c>
      <c r="B35" s="165"/>
      <c r="C35" s="165"/>
      <c r="D35" s="165"/>
      <c r="E35" s="166"/>
      <c r="F35" s="94" t="s">
        <v>50</v>
      </c>
      <c r="G35" s="93">
        <v>1.5</v>
      </c>
      <c r="H35" s="93">
        <f>'Krycí list rozpočtu (SO 01)'!C22</f>
        <v>0</v>
      </c>
      <c r="I35" s="93">
        <f>ROUND((G35/100)*H35,2)</f>
        <v>0</v>
      </c>
    </row>
    <row r="36" spans="1:9" x14ac:dyDescent="0.25">
      <c r="A36" s="151" t="s">
        <v>811</v>
      </c>
      <c r="B36" s="152"/>
      <c r="C36" s="152"/>
      <c r="D36" s="152"/>
      <c r="E36" s="153"/>
      <c r="F36" s="95" t="s">
        <v>50</v>
      </c>
      <c r="G36" s="96" t="s">
        <v>50</v>
      </c>
      <c r="H36" s="96" t="s">
        <v>50</v>
      </c>
      <c r="I36" s="97">
        <f>SUM(I35:I35)</f>
        <v>0</v>
      </c>
    </row>
  </sheetData>
  <mergeCells count="51">
    <mergeCell ref="A1:I1"/>
    <mergeCell ref="A2:B3"/>
    <mergeCell ref="A4:B5"/>
    <mergeCell ref="A6:B7"/>
    <mergeCell ref="A8:B9"/>
    <mergeCell ref="H2:H3"/>
    <mergeCell ref="H4:H5"/>
    <mergeCell ref="H6:H7"/>
    <mergeCell ref="H8:H9"/>
    <mergeCell ref="I2:I3"/>
    <mergeCell ref="I4:I5"/>
    <mergeCell ref="I6:I7"/>
    <mergeCell ref="I8:I9"/>
    <mergeCell ref="E2:E3"/>
    <mergeCell ref="E4:E5"/>
    <mergeCell ref="E6:E7"/>
    <mergeCell ref="E8:E9"/>
    <mergeCell ref="E10:E11"/>
    <mergeCell ref="F2:G3"/>
    <mergeCell ref="F4:G5"/>
    <mergeCell ref="F6:G7"/>
    <mergeCell ref="F8:G9"/>
    <mergeCell ref="F10:G11"/>
    <mergeCell ref="C2:D3"/>
    <mergeCell ref="C4:D5"/>
    <mergeCell ref="C6:D7"/>
    <mergeCell ref="C8:D9"/>
    <mergeCell ref="C10:D11"/>
    <mergeCell ref="I10:I11"/>
    <mergeCell ref="A13:E13"/>
    <mergeCell ref="A14:E14"/>
    <mergeCell ref="A15:E15"/>
    <mergeCell ref="A16:E16"/>
    <mergeCell ref="H10:H11"/>
    <mergeCell ref="A10:B11"/>
    <mergeCell ref="A17:E17"/>
    <mergeCell ref="A18:E18"/>
    <mergeCell ref="A20:E20"/>
    <mergeCell ref="A21:E21"/>
    <mergeCell ref="A22:E22"/>
    <mergeCell ref="A23:E23"/>
    <mergeCell ref="A24:E24"/>
    <mergeCell ref="A25:E25"/>
    <mergeCell ref="A26:E26"/>
    <mergeCell ref="A27:E27"/>
    <mergeCell ref="A36:E36"/>
    <mergeCell ref="A29:E29"/>
    <mergeCell ref="F29:I29"/>
    <mergeCell ref="A33:E33"/>
    <mergeCell ref="A34:E34"/>
    <mergeCell ref="A35:E35"/>
  </mergeCells>
  <pageMargins left="0.393999993801117" right="0.393999993801117" top="0.59100002050399802" bottom="0.59100002050399802" header="0" footer="0"/>
  <pageSetup fitToHeight="0"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9</vt:i4>
      </vt:variant>
      <vt:variant>
        <vt:lpstr>Pojmenované oblasti</vt:lpstr>
      </vt:variant>
      <vt:variant>
        <vt:i4>1</vt:i4>
      </vt:variant>
    </vt:vector>
  </HeadingPairs>
  <TitlesOfParts>
    <vt:vector size="10" baseType="lpstr">
      <vt:lpstr>Krycí list rozpočtu (SO 02)</vt:lpstr>
      <vt:lpstr>VORN objektu (SO 02)</vt:lpstr>
      <vt:lpstr>Stavební rozpočet - součet</vt:lpstr>
      <vt:lpstr>Stavební rozpočet</vt:lpstr>
      <vt:lpstr>Rozpočet - vybrané sloupce</vt:lpstr>
      <vt:lpstr>Krycí list rozpočtu</vt:lpstr>
      <vt:lpstr>VORN</vt:lpstr>
      <vt:lpstr>Krycí list rozpočtu (SO 01)</vt:lpstr>
      <vt:lpstr>VORN objektu (SO 01)</vt:lpstr>
      <vt:lpstr>vorn_sum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Maxová Gabriela</cp:lastModifiedBy>
  <dcterms:created xsi:type="dcterms:W3CDTF">2021-06-10T20:06:38Z</dcterms:created>
  <dcterms:modified xsi:type="dcterms:W3CDTF">2025-02-25T06:19:47Z</dcterms:modified>
</cp:coreProperties>
</file>